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4425" activeTab="6"/>
  </bookViews>
  <sheets>
    <sheet name="riclassificazione" sheetId="1" r:id="rId1"/>
    <sheet name="rendiconto" sheetId="2" state="hidden" r:id="rId2"/>
    <sheet name="calcoli cash flow" sheetId="3" state="hidden" r:id="rId3"/>
    <sheet name="rendiconto ias" sheetId="4" r:id="rId4"/>
    <sheet name="sintesi" sheetId="5" r:id="rId5"/>
    <sheet name="Altman" sheetId="6" r:id="rId6"/>
    <sheet name="qualità utile" sheetId="7" r:id="rId7"/>
  </sheets>
  <definedNames>
    <definedName name="_xlnm.Print_Area" localSheetId="1">'rendiconto'!$A$1:$U$63</definedName>
    <definedName name="_xlnm.Print_Area" localSheetId="3">'rendiconto ias'!$A$1:$U$63</definedName>
  </definedNames>
  <calcPr fullCalcOnLoad="1"/>
</workbook>
</file>

<file path=xl/sharedStrings.xml><?xml version="1.0" encoding="utf-8"?>
<sst xmlns="http://schemas.openxmlformats.org/spreadsheetml/2006/main" count="490" uniqueCount="344">
  <si>
    <t>IMPRESA:</t>
  </si>
  <si>
    <t>GRUPPO:</t>
  </si>
  <si>
    <t>Nome</t>
  </si>
  <si>
    <t xml:space="preserve">   Sede</t>
  </si>
  <si>
    <t>importo</t>
  </si>
  <si>
    <t>%</t>
  </si>
  <si>
    <t>Immobilizzazioni immateriali</t>
  </si>
  <si>
    <t>Immobilizzazioni materiali lorde</t>
  </si>
  <si>
    <t>- Fondi ammortamento e svalutazioni</t>
  </si>
  <si>
    <t>* Immobilizzazioni materiali in esercizio  (1)</t>
  </si>
  <si>
    <t>Immobilizzazioni materiali in corso</t>
  </si>
  <si>
    <t>Immob. in titoli e crediti finanziari oltre es.</t>
  </si>
  <si>
    <t>* Attivo finanziario immobilizzato</t>
  </si>
  <si>
    <t>** Totale attivo immobilizzato</t>
  </si>
  <si>
    <t>Acconti a fornitori</t>
  </si>
  <si>
    <t>Materie prime e sussidiarie</t>
  </si>
  <si>
    <t>* Rimanenze</t>
  </si>
  <si>
    <t>Attività finanziarie</t>
  </si>
  <si>
    <t>Disponibilità liquide</t>
  </si>
  <si>
    <t>* Liquidità immediata</t>
  </si>
  <si>
    <t>** Totale attivo corrente</t>
  </si>
  <si>
    <t>Attivo</t>
  </si>
  <si>
    <t>(1) di cui: terreni e fabbricati</t>
  </si>
  <si>
    <t>(1) di cui: impianti e macchinari</t>
  </si>
  <si>
    <t>SOCIETA'</t>
  </si>
  <si>
    <t>STATO PATRIMONIALE - PASSIVO</t>
  </si>
  <si>
    <t>Capitale</t>
  </si>
  <si>
    <t>Riserva sovrapprezzo azioni</t>
  </si>
  <si>
    <t>- Crediti v/soci per versamenti dovuti</t>
  </si>
  <si>
    <t>* Capitale versato</t>
  </si>
  <si>
    <t>Riserve di rivalutazione</t>
  </si>
  <si>
    <t>Riserve derivanti da norme tributarie</t>
  </si>
  <si>
    <t>Altre riserve</t>
  </si>
  <si>
    <t>- Azioni proprie</t>
  </si>
  <si>
    <t>Contributi ricevuti capitalizzati</t>
  </si>
  <si>
    <t>* Riserve nette</t>
  </si>
  <si>
    <t>- Distribuzione e destinazione deliberate</t>
  </si>
  <si>
    <t>* Utile (perdite) dell'esercizio a riserva</t>
  </si>
  <si>
    <t>** Patrimonio netto</t>
  </si>
  <si>
    <t>Fondi per rischi ed oneri</t>
  </si>
  <si>
    <t>Fondo trattamento fine rapporto</t>
  </si>
  <si>
    <t>* Fondi accantonati</t>
  </si>
  <si>
    <t>Debiti fin. v/soci oltre eserc.</t>
  </si>
  <si>
    <t>Debiti fin. v/banche oltre eserc.</t>
  </si>
  <si>
    <t>Debiti fin. v/altri finanziatori oltre eserc.</t>
  </si>
  <si>
    <t>Debiti comm. e diversi oltre eserc.</t>
  </si>
  <si>
    <t>* Debiti consolidati</t>
  </si>
  <si>
    <t>** Totale capitali permanenti</t>
  </si>
  <si>
    <t>* Debiti fin. entro eserc.</t>
  </si>
  <si>
    <t>Debiti v/fornitori</t>
  </si>
  <si>
    <t>* Debiti commerciali</t>
  </si>
  <si>
    <t>Debiti tributari e fondo imposte correnti</t>
  </si>
  <si>
    <t>Debiti diversi</t>
  </si>
  <si>
    <t>Altre passività</t>
  </si>
  <si>
    <t>** Totale passivo corrente</t>
  </si>
  <si>
    <t>Passivo</t>
  </si>
  <si>
    <t>± Variaz. semilav. e prodotti finiti</t>
  </si>
  <si>
    <t>+ Incrementi immob. materiali per lavori</t>
  </si>
  <si>
    <t>+ Contributi in conto esercizio</t>
  </si>
  <si>
    <t>Valore della produzione</t>
  </si>
  <si>
    <t>- Acquisti netti</t>
  </si>
  <si>
    <t>± Variaz. materie prime e merci</t>
  </si>
  <si>
    <t>- Costi per servizi e godim. beni terzi</t>
  </si>
  <si>
    <t>Valore aggiunto operativo</t>
  </si>
  <si>
    <t>- Costo del lavoro</t>
  </si>
  <si>
    <t>Margine operativo lordo</t>
  </si>
  <si>
    <t>- Ammortamenti immob. materiali</t>
  </si>
  <si>
    <t>- Svalutazioni del circolante</t>
  </si>
  <si>
    <t>- Accant. operativi per rischi ed oneri</t>
  </si>
  <si>
    <t>Margine operativo netto</t>
  </si>
  <si>
    <t>± Saldo ricavi/Oneri diversi</t>
  </si>
  <si>
    <t>+ Capitalizzazione immob. materiali</t>
  </si>
  <si>
    <t>- Ammortamenti immob. immateriali</t>
  </si>
  <si>
    <t xml:space="preserve"> </t>
  </si>
  <si>
    <t>Margine corrente ante gestione finanziaria</t>
  </si>
  <si>
    <t>- Perdite finanziarie</t>
  </si>
  <si>
    <t>Margine corrente ante oneri finanziari</t>
  </si>
  <si>
    <t>Margine corrente</t>
  </si>
  <si>
    <t>± Plus/Minusvalenze da realizzo</t>
  </si>
  <si>
    <t>± Saldo proventi/oneri straordinari</t>
  </si>
  <si>
    <t>Risultato rettificato ante imposte</t>
  </si>
  <si>
    <t>- Imposte nette sul reddito</t>
  </si>
  <si>
    <t>- Imposte  diverse</t>
  </si>
  <si>
    <t>Risultato netto rettificato</t>
  </si>
  <si>
    <t>- Ammortamenti anticipati</t>
  </si>
  <si>
    <t>± Saldo altre rettif. per norme tributarie</t>
  </si>
  <si>
    <t>+ Rivalutazioni di attività</t>
  </si>
  <si>
    <t>± Saldo utilizzi/accant. di riserve</t>
  </si>
  <si>
    <t>+ Versam. e remissioni a copertura perdite</t>
  </si>
  <si>
    <t xml:space="preserve">                                   NOTE</t>
  </si>
  <si>
    <t>(1) di cui: ricavi export</t>
  </si>
  <si>
    <t>(2) di cui: proventi su crediti comm. e div.</t>
  </si>
  <si>
    <t>Saldo oneri fin. - Interessi att. su liquidità</t>
  </si>
  <si>
    <t>Saldo oneri - proventi e perdite fin.</t>
  </si>
  <si>
    <t>RIPARTIZIONE VALORE AGGIUNTO</t>
  </si>
  <si>
    <t xml:space="preserve">Valore aggiunto </t>
  </si>
  <si>
    <t>Altri proventi (oneri)</t>
  </si>
  <si>
    <t>totale risorse</t>
  </si>
  <si>
    <t>destinazione:</t>
  </si>
  <si>
    <t>lavoro</t>
  </si>
  <si>
    <t>imposte dirette</t>
  </si>
  <si>
    <t>finanziatori</t>
  </si>
  <si>
    <t>azionisti</t>
  </si>
  <si>
    <t>impresa:</t>
  </si>
  <si>
    <t xml:space="preserve">    ammortamenti</t>
  </si>
  <si>
    <t xml:space="preserve">    accantonamenti</t>
  </si>
  <si>
    <t xml:space="preserve">    riserve</t>
  </si>
  <si>
    <t>totale destinazione</t>
  </si>
  <si>
    <t>imposte indirette:stima</t>
  </si>
  <si>
    <t>valore aggiunto  e imposte indirette</t>
  </si>
  <si>
    <t>imposte dirette e indirette</t>
  </si>
  <si>
    <t>impresa</t>
  </si>
  <si>
    <t>Emolumenti amministratori</t>
  </si>
  <si>
    <t>SITUAZIONE PATRIMONIALE DI SINTESI</t>
  </si>
  <si>
    <t>Investimenti netti:</t>
  </si>
  <si>
    <t>Liquidita`</t>
  </si>
  <si>
    <t>Capitale circolante commerc. netto</t>
  </si>
  <si>
    <t>Capitale fisso tecn. immateriale</t>
  </si>
  <si>
    <t>Capitale fisso tecn. materiale</t>
  </si>
  <si>
    <t>Attivo netto</t>
  </si>
  <si>
    <t>Finanziamenti netti:</t>
  </si>
  <si>
    <t>Debiti finanziari a breve</t>
  </si>
  <si>
    <t>Debiti finanziari a lungo</t>
  </si>
  <si>
    <t>Debiti finanziari breve e lungo termine</t>
  </si>
  <si>
    <t>Capitale proprio</t>
  </si>
  <si>
    <t>Capitale investito netto</t>
  </si>
  <si>
    <t>Indici di liquidità</t>
  </si>
  <si>
    <t>(Att. Correnti - Magazzino)/Pass. Correnti</t>
  </si>
  <si>
    <t xml:space="preserve"> Acid test</t>
  </si>
  <si>
    <t>Att. Correnti/Pass. Correnti</t>
  </si>
  <si>
    <t xml:space="preserve"> Indice corrente</t>
  </si>
  <si>
    <t>Indici di struttura</t>
  </si>
  <si>
    <t>Patrimonio netto/immobilizzazioni materiali</t>
  </si>
  <si>
    <t>(Patrimonio netto + Pass M/L) Attivo immobilizzato</t>
  </si>
  <si>
    <t>Indici di efficienza</t>
  </si>
  <si>
    <t>(Crediti Commerciali * 365)/Fatturato netto</t>
  </si>
  <si>
    <t>(Debiti commerciali*365)/Acquisti</t>
  </si>
  <si>
    <t>Fatturato/Capitale Investito netto medio</t>
  </si>
  <si>
    <t xml:space="preserve">  (turnover)</t>
  </si>
  <si>
    <t>Fatturato/Capitale fisso medio</t>
  </si>
  <si>
    <t>Fatturato/Magazzino medio</t>
  </si>
  <si>
    <t>Indici di rinnovamento</t>
  </si>
  <si>
    <t>%di Ammort. = (Amm./Immobilizzi Materiali lordi)</t>
  </si>
  <si>
    <t>Grado di amm. = (Fondo/imm. Mat. lordi)</t>
  </si>
  <si>
    <t xml:space="preserve">                  /Capitale Investito netto </t>
  </si>
  <si>
    <t>Oneri finanziari/Debiti finanziari</t>
  </si>
  <si>
    <t>Debiti finanziari / Patrimonio netto</t>
  </si>
  <si>
    <t xml:space="preserve">                  /Attivo  netto </t>
  </si>
  <si>
    <t>Oneri finanziari/Mezzi di terzi</t>
  </si>
  <si>
    <t>Mezzi di terzi /Patrimonio netto</t>
  </si>
  <si>
    <t>Altri indici</t>
  </si>
  <si>
    <t xml:space="preserve">Copertura interessi </t>
  </si>
  <si>
    <t>Margine operativo -Ebit-/Oneri finanziari netti</t>
  </si>
  <si>
    <t>Capitale circolante netto</t>
  </si>
  <si>
    <t>Margine di tesoreria</t>
  </si>
  <si>
    <t>Margine di struttura</t>
  </si>
  <si>
    <t>Manodopera</t>
  </si>
  <si>
    <t>N° Dipendenti a fine anno</t>
  </si>
  <si>
    <t>N° Dipendenti medio</t>
  </si>
  <si>
    <t>Fatturato per dipendente</t>
  </si>
  <si>
    <t>Valore aggiunto per dipendente</t>
  </si>
  <si>
    <t>Costo del lavoro per dipendente</t>
  </si>
  <si>
    <t>Immobilizzi Materiali netti per dipendente</t>
  </si>
  <si>
    <t xml:space="preserve"> INDICI DI SVILUPPO</t>
  </si>
  <si>
    <t>Variazione % Vendite</t>
  </si>
  <si>
    <t>Variazione % Capitale investito</t>
  </si>
  <si>
    <t>Variazione % Patrimonio netto</t>
  </si>
  <si>
    <t>Variazione % Indebitamento finanziario</t>
  </si>
  <si>
    <t>Variazione % Indebitamento totale</t>
  </si>
  <si>
    <t>Variazione % Valore aggiunto</t>
  </si>
  <si>
    <t>Variazione % Reddito operativo n.</t>
  </si>
  <si>
    <t>Variazione % Risultato d'esercizio</t>
  </si>
  <si>
    <t>Variazione n. dipendenti</t>
  </si>
  <si>
    <t>RENDICONTO   FINANZIARIO</t>
  </si>
  <si>
    <t>CASH FLOW  GESTIONE OPERATIVA:</t>
  </si>
  <si>
    <t>Rettifiche non-cash:</t>
  </si>
  <si>
    <t>Ammortamenti operativi</t>
  </si>
  <si>
    <t>Accantonamenti operativi</t>
  </si>
  <si>
    <t>Accantonamenti TFR netti</t>
  </si>
  <si>
    <t>CASH FLOW  GESTIONE OPERATIVA</t>
  </si>
  <si>
    <t>aumento(diminuzione)</t>
  </si>
  <si>
    <t>Variazione crediti commerciali</t>
  </si>
  <si>
    <t>Variazione magazzino</t>
  </si>
  <si>
    <t>Variazione debiti commerciali</t>
  </si>
  <si>
    <t>Variazione debiti diversi</t>
  </si>
  <si>
    <t>Variazione altre passività</t>
  </si>
  <si>
    <t>VARIAZIONE CIRCOLANTE OPERATIVO</t>
  </si>
  <si>
    <t xml:space="preserve">  Interessi passivi versati</t>
  </si>
  <si>
    <t xml:space="preserve">  Imposte pagate</t>
  </si>
  <si>
    <t>CASH FLOW  DALLE ATTIVITA' DI INVESTIMENTO</t>
  </si>
  <si>
    <t>Investimento  immob. tecniche</t>
  </si>
  <si>
    <t>Disinvestimento  immob. tecniche</t>
  </si>
  <si>
    <t>Investimento immob. immateriali</t>
  </si>
  <si>
    <t>Disinvestimento immob. immateriali</t>
  </si>
  <si>
    <t>Investimento  immob.  finanziarie</t>
  </si>
  <si>
    <t>Disinvestimento  immob.  finanziarie</t>
  </si>
  <si>
    <t>Dividendi ricevuti</t>
  </si>
  <si>
    <t>NET CASH FOW GENERATO (ASSORBITO)  ATTIVITA' DI INVESTIMENTO</t>
  </si>
  <si>
    <t>CASH FLOW  DALLE ATTIVITA' DI FINANZIAMENTO</t>
  </si>
  <si>
    <t>Accensione ( rimborso) di finanziamenti lungo termine</t>
  </si>
  <si>
    <t>Accensione ( rimborso) di finanziamenti breve termine</t>
  </si>
  <si>
    <t>distribuzione dividendi</t>
  </si>
  <si>
    <t>NET CASH FOW GENERATO (ASSORBITO)  ATTIVITA' DI FINANZIAMENTO</t>
  </si>
  <si>
    <t>Variazione della  liquidità ed equivalenti</t>
  </si>
  <si>
    <t>Liquidità  1.1.</t>
  </si>
  <si>
    <t>Liquidità  31.12</t>
  </si>
  <si>
    <t>Generazione di cassa totale dell'esercizio</t>
  </si>
  <si>
    <t>CASH FLOW  GESTIONE REDDITUALE</t>
  </si>
  <si>
    <t>Variazione crediti finanziari</t>
  </si>
  <si>
    <t>Variazione debiti tributari</t>
  </si>
  <si>
    <t>VARIAZIONE CIRCOLANTE</t>
  </si>
  <si>
    <t xml:space="preserve"> NET CASH FLOW GESTIONE REDDITUALE</t>
  </si>
  <si>
    <t>NET CASH FLOW  DOPO INVESTIMENTI</t>
  </si>
  <si>
    <t xml:space="preserve"> (Free cash flow)</t>
  </si>
  <si>
    <t>Var. posizione debitoria netta</t>
  </si>
  <si>
    <t>Var. passività finanziarie a breve</t>
  </si>
  <si>
    <t>Var. passività finanziarie m/lt</t>
  </si>
  <si>
    <t>TOTALE FONDI DA  FINANZIAMENTI</t>
  </si>
  <si>
    <t>Variazioni di patrimonio netto</t>
  </si>
  <si>
    <t>TOTALE FONDI DA  MEZZI  PROPRI</t>
  </si>
  <si>
    <t>Var. liquidità</t>
  </si>
  <si>
    <t>verifica</t>
  </si>
  <si>
    <t>Ricostruzione importi investimenti:</t>
  </si>
  <si>
    <t>Investimento  immob. tecniche:</t>
  </si>
  <si>
    <t>Var. immobilizzazioni tecniche</t>
  </si>
  <si>
    <t>Plus(minus) immob.</t>
  </si>
  <si>
    <t>Ammortamenti operativ</t>
  </si>
  <si>
    <t>Ammortamenti anticipati</t>
  </si>
  <si>
    <t>Var. immobilizzazioni immateriali</t>
  </si>
  <si>
    <t>Var.  partecipazioni</t>
  </si>
  <si>
    <t>Perdite</t>
  </si>
  <si>
    <t>Var. partecipazioni nette</t>
  </si>
  <si>
    <t>TFR erogato</t>
  </si>
  <si>
    <t>Variazione fondo</t>
  </si>
  <si>
    <t>Accantonamento TFR</t>
  </si>
  <si>
    <t>Cambi</t>
  </si>
  <si>
    <t>Differenza su cambi</t>
  </si>
  <si>
    <t>Altri fondi</t>
  </si>
  <si>
    <t>Fondo indennità agenti</t>
  </si>
  <si>
    <t>Accantonamenti(utilizzo) altri fondi</t>
  </si>
  <si>
    <t>variazione patrimonio netto</t>
  </si>
  <si>
    <t>Patrimonio netto</t>
  </si>
  <si>
    <t>utile del periodo</t>
  </si>
  <si>
    <t xml:space="preserve">Investimenti netti </t>
  </si>
  <si>
    <t>± Ripristini valore/Svalutazioni (5)</t>
  </si>
  <si>
    <t xml:space="preserve">(3) di cui dividendi  </t>
  </si>
  <si>
    <t>(4) di cui: oneri su debiti comm. e diversi</t>
  </si>
  <si>
    <t>(5) di cui: ripristini/svalutazioni partecipaz.</t>
  </si>
  <si>
    <t xml:space="preserve"> Incasso di crediti finanziari  breve termine</t>
  </si>
  <si>
    <t>Concessione di crediti finanziari breve termine</t>
  </si>
  <si>
    <t>dividendi?</t>
  </si>
  <si>
    <t>Crediti tributari</t>
  </si>
  <si>
    <t>Crediti diversi e altre attività</t>
  </si>
  <si>
    <t>Crediti tributari oltre es.</t>
  </si>
  <si>
    <t>Crediti commerciali e altri oltre es.</t>
  </si>
  <si>
    <t>Fondo per imposte differite</t>
  </si>
  <si>
    <t>(Fondi imposte diff, spese e rischi)</t>
  </si>
  <si>
    <t>Variazione crediti tributari</t>
  </si>
  <si>
    <t>Variazione crediti diversi e altre attività</t>
  </si>
  <si>
    <t>Utile (perdita) dell'esercizio G &amp; T</t>
  </si>
  <si>
    <t>Oneri finanziari lordi /Ebitda</t>
  </si>
  <si>
    <t>Oneri finanziari netti DF/Ebitda</t>
  </si>
  <si>
    <t>Saldo  dopo gestione finanziaria ind</t>
  </si>
  <si>
    <t>Z =</t>
  </si>
  <si>
    <t>att corr/ pass corr</t>
  </si>
  <si>
    <t xml:space="preserve"> +</t>
  </si>
  <si>
    <t>PN/ AN</t>
  </si>
  <si>
    <t>RO/AN</t>
  </si>
  <si>
    <t>PN/DF</t>
  </si>
  <si>
    <t>V/AN</t>
  </si>
  <si>
    <t>an = ci</t>
  </si>
  <si>
    <t xml:space="preserve"> Z =</t>
  </si>
  <si>
    <t>IMPRESE FALLITE</t>
  </si>
  <si>
    <t xml:space="preserve">IMPRESE SANE  </t>
  </si>
  <si>
    <t xml:space="preserve"> -</t>
  </si>
  <si>
    <t>AREA GRIGIA</t>
  </si>
  <si>
    <t>&lt;--&gt;</t>
  </si>
  <si>
    <t xml:space="preserve"> +2,99</t>
  </si>
  <si>
    <t>+1,81</t>
  </si>
  <si>
    <t>Z  SCORE</t>
  </si>
  <si>
    <t>Aumento capitale sociale (acq.az. Proprie)</t>
  </si>
  <si>
    <t>Variazione riserva rivalutazione</t>
  </si>
  <si>
    <t>Variazione riserva  rivalutazione</t>
  </si>
  <si>
    <t>aumento  a pagamento (acquisto azioni proprie)</t>
  </si>
  <si>
    <t>Crediti finanziari circolante</t>
  </si>
  <si>
    <t>Immobilizz. Finanziarie nette</t>
  </si>
  <si>
    <t>Attività finanziarie complessive</t>
  </si>
  <si>
    <t>Attività operative nette</t>
  </si>
  <si>
    <t>Altre attività operative nette</t>
  </si>
  <si>
    <t>Versamenti c/aumento capitale</t>
  </si>
  <si>
    <t xml:space="preserve">Utile (perdite) dell'esercizio </t>
  </si>
  <si>
    <t>migliaia di euro</t>
  </si>
  <si>
    <t>Saldo Interessi attivi ricevuti /( perdite su cambi subite)</t>
  </si>
  <si>
    <t xml:space="preserve"> - versamenti cop perdite c.e.</t>
  </si>
  <si>
    <t>Utile (perdita)  rettificata dell'esercizio</t>
  </si>
  <si>
    <t>Brianza</t>
  </si>
  <si>
    <t>CONTO   ECONOMICO</t>
  </si>
  <si>
    <t>Aumenti  di  capitale (acquisto azioni proprie) copertura perdite</t>
  </si>
  <si>
    <t>n.d.</t>
  </si>
  <si>
    <r>
      <t>R.O.C.E.</t>
    </r>
    <r>
      <rPr>
        <sz val="10"/>
        <rFont val="Times New Roman"/>
        <family val="1"/>
      </rPr>
      <t xml:space="preserve">    =     Utile netto + oneri finanziari /</t>
    </r>
  </si>
  <si>
    <r>
      <t>R.O.I.</t>
    </r>
    <r>
      <rPr>
        <sz val="10"/>
        <rFont val="Times New Roman"/>
        <family val="1"/>
      </rPr>
      <t xml:space="preserve">   =     Margine operativo/ </t>
    </r>
  </si>
  <si>
    <r>
      <t>R.O.E</t>
    </r>
    <r>
      <rPr>
        <sz val="10"/>
        <rFont val="Times New Roman"/>
        <family val="1"/>
      </rPr>
      <t>.  =  Utile netto/ Patrimonio netto</t>
    </r>
  </si>
  <si>
    <r>
      <t>R.O.S</t>
    </r>
    <r>
      <rPr>
        <sz val="10"/>
        <rFont val="Times New Roman"/>
        <family val="1"/>
      </rPr>
      <t>.  =  Margine operativo -Ebit/Fatturato</t>
    </r>
  </si>
  <si>
    <r>
      <t xml:space="preserve">R.O.E.  </t>
    </r>
    <r>
      <rPr>
        <sz val="10"/>
        <rFont val="Times New Roman"/>
        <family val="1"/>
      </rPr>
      <t>rettificato</t>
    </r>
  </si>
  <si>
    <t xml:space="preserve">Immobilizzazioni in partecipazioni </t>
  </si>
  <si>
    <t xml:space="preserve">Semilav. Lavori in corso e Prodotti finiti </t>
  </si>
  <si>
    <t xml:space="preserve">Crediti commerciali </t>
  </si>
  <si>
    <t xml:space="preserve">Crediti finanziari </t>
  </si>
  <si>
    <t xml:space="preserve">Obbligazioni nette oltre eserc. </t>
  </si>
  <si>
    <t>Debiti fin. v/banche entro eserc.</t>
  </si>
  <si>
    <t xml:space="preserve">Debiti fin. v/altri finanziat. entro eserc. </t>
  </si>
  <si>
    <t xml:space="preserve">Anticipi da clienti e fatture sospese </t>
  </si>
  <si>
    <t xml:space="preserve"> Ricavi netti </t>
  </si>
  <si>
    <t xml:space="preserve">+ Proventi finanziari </t>
  </si>
  <si>
    <t xml:space="preserve">- Oneri finanziari </t>
  </si>
  <si>
    <t>flusso di cassa gestione corrente</t>
  </si>
  <si>
    <t>fatturato</t>
  </si>
  <si>
    <t>flusso di cassa disponibile</t>
  </si>
  <si>
    <t>ammortamenti</t>
  </si>
  <si>
    <t>flusso  di cassa gestione corrente</t>
  </si>
  <si>
    <t>Analisi  qualità dell'utile</t>
  </si>
  <si>
    <t>neg.</t>
  </si>
  <si>
    <t>Utile netto</t>
  </si>
  <si>
    <t>Tabella 1.1</t>
  </si>
  <si>
    <t>Tabella  1.2.</t>
  </si>
  <si>
    <t>Tabella 1.2. segue</t>
  </si>
  <si>
    <t>Tabella 1.3</t>
  </si>
  <si>
    <t>Tabella 1.4.</t>
  </si>
  <si>
    <t>Tabella 1.4  - segue</t>
  </si>
  <si>
    <t>Tabella 1.6</t>
  </si>
  <si>
    <t>Tabella 1.5.  calcoli per Z score</t>
  </si>
  <si>
    <t>Minuterie metalliche</t>
  </si>
  <si>
    <t>Analisi del ROE e della Leva Finanziaria</t>
  </si>
  <si>
    <t>Tabella 1.1. segue</t>
  </si>
  <si>
    <t>STATO PATRIMONIALE - ATTIVO</t>
  </si>
  <si>
    <t xml:space="preserve"> Reddito operativo (ante interessi e imposte)</t>
  </si>
  <si>
    <t>NET CASH FLOW DALLE OPERAZIONI</t>
  </si>
  <si>
    <t xml:space="preserve"> NET CASH FLOW DALLE ATTIVITA' OPERATIVE</t>
  </si>
  <si>
    <t>Investimento  immob. finanziarie</t>
  </si>
  <si>
    <t>Fatturato/Attività correnti medie</t>
  </si>
  <si>
    <r>
      <t>Turnover</t>
    </r>
    <r>
      <rPr>
        <sz val="10"/>
        <rFont val="Times New Roman"/>
        <family val="1"/>
      </rPr>
      <t xml:space="preserve"> = Fatturato/Attivo netto</t>
    </r>
  </si>
  <si>
    <t xml:space="preserve"> Cash Flow operativo/Oneri finanziari netti</t>
  </si>
  <si>
    <t>Debiti finanziari/fatturato netto</t>
  </si>
  <si>
    <t>Imposte/Risultato ante imposte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</si>
</sst>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\'_._._."/>
    <numFmt numFmtId="186" formatCode="\'"/>
    <numFmt numFmtId="187" formatCode="00000000000"/>
    <numFmt numFmtId="188" formatCode="0.00000"/>
    <numFmt numFmtId="189" formatCode="0.0%"/>
    <numFmt numFmtId="190" formatCode="#,##0.0;[Red]\-#,##0.0"/>
    <numFmt numFmtId="191" formatCode="#,##0;\(#,##0\)"/>
    <numFmt numFmtId="192" formatCode="#,##0;[Red]General;\(#,##0\)"/>
    <numFmt numFmtId="193" formatCode="0.000000"/>
    <numFmt numFmtId="194" formatCode="0.0000"/>
    <numFmt numFmtId="195" formatCode="0.000"/>
    <numFmt numFmtId="196" formatCode="#,##0.0_);[Red]\(#,##0.0\)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#,##0.0;\-#,##0.0"/>
    <numFmt numFmtId="202" formatCode="#,##0.000;[Red]\-#,##0.000"/>
    <numFmt numFmtId="203" formatCode="#,##0.0000;[Red]\-#,##0.0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3" xfId="0" applyBorder="1" applyAlignment="1">
      <alignment/>
    </xf>
    <xf numFmtId="0" fontId="0" fillId="1" borderId="14" xfId="0" applyFill="1" applyBorder="1" applyAlignment="1" applyProtection="1">
      <alignment/>
      <protection/>
    </xf>
    <xf numFmtId="0" fontId="0" fillId="1" borderId="10" xfId="0" applyFill="1" applyBorder="1" applyAlignment="1" applyProtection="1">
      <alignment/>
      <protection/>
    </xf>
    <xf numFmtId="0" fontId="0" fillId="1" borderId="15" xfId="0" applyFill="1" applyBorder="1" applyAlignment="1" applyProtection="1">
      <alignment/>
      <protection/>
    </xf>
    <xf numFmtId="0" fontId="0" fillId="1" borderId="12" xfId="0" applyFill="1" applyBorder="1" applyAlignment="1" applyProtection="1">
      <alignment/>
      <protection/>
    </xf>
    <xf numFmtId="14" fontId="0" fillId="0" borderId="16" xfId="0" applyNumberFormat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1" borderId="15" xfId="0" applyFill="1" applyBorder="1" applyAlignment="1">
      <alignment/>
    </xf>
    <xf numFmtId="0" fontId="0" fillId="1" borderId="10" xfId="0" applyFill="1" applyBorder="1" applyAlignment="1" quotePrefix="1">
      <alignment horizontal="left"/>
    </xf>
    <xf numFmtId="0" fontId="0" fillId="1" borderId="14" xfId="0" applyFill="1" applyBorder="1" applyAlignment="1">
      <alignment/>
    </xf>
    <xf numFmtId="0" fontId="0" fillId="1" borderId="18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 quotePrefix="1">
      <alignment horizontal="left"/>
    </xf>
    <xf numFmtId="0" fontId="0" fillId="0" borderId="19" xfId="0" applyBorder="1" applyAlignment="1">
      <alignment horizontal="right"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 horizontal="centerContinuous"/>
      <protection/>
    </xf>
    <xf numFmtId="0" fontId="1" fillId="0" borderId="18" xfId="0" applyFont="1" applyBorder="1" applyAlignment="1">
      <alignment/>
    </xf>
    <xf numFmtId="191" fontId="0" fillId="0" borderId="19" xfId="46" applyNumberFormat="1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Continuous"/>
      <protection/>
    </xf>
    <xf numFmtId="3" fontId="1" fillId="0" borderId="19" xfId="0" applyNumberFormat="1" applyFont="1" applyBorder="1" applyAlignment="1">
      <alignment/>
    </xf>
    <xf numFmtId="38" fontId="1" fillId="0" borderId="19" xfId="46" applyFont="1" applyBorder="1" applyAlignment="1" applyProtection="1">
      <alignment horizontal="right"/>
      <protection/>
    </xf>
    <xf numFmtId="191" fontId="1" fillId="0" borderId="19" xfId="0" applyNumberFormat="1" applyFont="1" applyBorder="1" applyAlignment="1">
      <alignment/>
    </xf>
    <xf numFmtId="191" fontId="1" fillId="0" borderId="19" xfId="46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 horizontal="left"/>
    </xf>
    <xf numFmtId="191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191" fontId="1" fillId="0" borderId="17" xfId="0" applyNumberFormat="1" applyFont="1" applyBorder="1" applyAlignment="1">
      <alignment/>
    </xf>
    <xf numFmtId="191" fontId="0" fillId="0" borderId="18" xfId="0" applyNumberFormat="1" applyBorder="1" applyAlignment="1">
      <alignment/>
    </xf>
    <xf numFmtId="19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22" xfId="0" applyFont="1" applyBorder="1" applyAlignment="1">
      <alignment/>
    </xf>
    <xf numFmtId="0" fontId="1" fillId="33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 applyProtection="1">
      <alignment/>
      <protection/>
    </xf>
    <xf numFmtId="0" fontId="1" fillId="33" borderId="10" xfId="0" applyFont="1" applyFill="1" applyBorder="1" applyAlignment="1" quotePrefix="1">
      <alignment horizontal="right"/>
    </xf>
    <xf numFmtId="0" fontId="1" fillId="33" borderId="14" xfId="0" applyFont="1" applyFill="1" applyBorder="1" applyAlignment="1">
      <alignment horizontal="right"/>
    </xf>
    <xf numFmtId="191" fontId="0" fillId="0" borderId="19" xfId="0" applyNumberFormat="1" applyBorder="1" applyAlignment="1">
      <alignment/>
    </xf>
    <xf numFmtId="1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45" applyFont="1" applyAlignment="1">
      <alignment/>
    </xf>
    <xf numFmtId="40" fontId="1" fillId="0" borderId="0" xfId="45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 quotePrefix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8" xfId="0" applyFont="1" applyFill="1" applyBorder="1" applyAlignment="1" quotePrefix="1">
      <alignment horizontal="center"/>
    </xf>
    <xf numFmtId="39" fontId="0" fillId="0" borderId="0" xfId="45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19" xfId="0" applyFont="1" applyBorder="1" applyAlignment="1" applyProtection="1">
      <alignment horizontal="centerContinuous"/>
      <protection/>
    </xf>
    <xf numFmtId="14" fontId="8" fillId="0" borderId="16" xfId="0" applyNumberFormat="1" applyFont="1" applyBorder="1" applyAlignment="1" applyProtection="1">
      <alignment horizontal="centerContinuous"/>
      <protection/>
    </xf>
    <xf numFmtId="0" fontId="8" fillId="0" borderId="17" xfId="0" applyFont="1" applyBorder="1" applyAlignment="1" applyProtection="1">
      <alignment horizontal="centerContinuous"/>
      <protection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19" xfId="0" applyFont="1" applyBorder="1" applyAlignment="1" applyProtection="1">
      <alignment wrapText="1"/>
      <protection/>
    </xf>
    <xf numFmtId="38" fontId="7" fillId="0" borderId="19" xfId="46" applyFont="1" applyBorder="1" applyAlignment="1" applyProtection="1">
      <alignment horizontal="right"/>
      <protection/>
    </xf>
    <xf numFmtId="191" fontId="7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91" fontId="8" fillId="0" borderId="19" xfId="46" applyNumberFormat="1" applyFont="1" applyBorder="1" applyAlignment="1" applyProtection="1">
      <alignment horizontal="right"/>
      <protection/>
    </xf>
    <xf numFmtId="0" fontId="8" fillId="0" borderId="19" xfId="0" applyFont="1" applyBorder="1" applyAlignment="1">
      <alignment horizontal="right"/>
    </xf>
    <xf numFmtId="191" fontId="7" fillId="0" borderId="19" xfId="46" applyNumberFormat="1" applyFont="1" applyBorder="1" applyAlignment="1" applyProtection="1">
      <alignment horizontal="right"/>
      <protection/>
    </xf>
    <xf numFmtId="0" fontId="10" fillId="0" borderId="24" xfId="0" applyFont="1" applyBorder="1" applyAlignment="1">
      <alignment/>
    </xf>
    <xf numFmtId="38" fontId="8" fillId="0" borderId="19" xfId="45" applyNumberFormat="1" applyFont="1" applyBorder="1" applyAlignment="1">
      <alignment/>
    </xf>
    <xf numFmtId="0" fontId="10" fillId="0" borderId="24" xfId="0" applyFont="1" applyBorder="1" applyAlignment="1">
      <alignment wrapText="1"/>
    </xf>
    <xf numFmtId="0" fontId="7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2" xfId="0" applyFont="1" applyBorder="1" applyAlignment="1">
      <alignment/>
    </xf>
    <xf numFmtId="191" fontId="8" fillId="0" borderId="18" xfId="0" applyNumberFormat="1" applyFont="1" applyBorder="1" applyAlignment="1">
      <alignment/>
    </xf>
    <xf numFmtId="191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23" xfId="0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38" fontId="8" fillId="0" borderId="23" xfId="46" applyFont="1" applyBorder="1" applyAlignment="1" applyProtection="1">
      <alignment horizontal="right"/>
      <protection/>
    </xf>
    <xf numFmtId="38" fontId="8" fillId="0" borderId="19" xfId="46" applyFont="1" applyBorder="1" applyAlignment="1" applyProtection="1">
      <alignment horizontal="right"/>
      <protection/>
    </xf>
    <xf numFmtId="0" fontId="8" fillId="0" borderId="16" xfId="0" applyFont="1" applyBorder="1" applyAlignment="1">
      <alignment horizontal="right"/>
    </xf>
    <xf numFmtId="38" fontId="8" fillId="0" borderId="16" xfId="46" applyFont="1" applyBorder="1" applyAlignment="1" applyProtection="1">
      <alignment horizontal="right"/>
      <protection/>
    </xf>
    <xf numFmtId="9" fontId="8" fillId="0" borderId="17" xfId="50" applyFont="1" applyBorder="1" applyAlignment="1" applyProtection="1">
      <alignment horizontal="right"/>
      <protection/>
    </xf>
    <xf numFmtId="191" fontId="8" fillId="0" borderId="23" xfId="46" applyNumberFormat="1" applyFont="1" applyBorder="1" applyAlignment="1" applyProtection="1">
      <alignment horizontal="right"/>
      <protection/>
    </xf>
    <xf numFmtId="189" fontId="8" fillId="0" borderId="19" xfId="50" applyNumberFormat="1" applyFont="1" applyBorder="1" applyAlignment="1" applyProtection="1">
      <alignment horizontal="right"/>
      <protection/>
    </xf>
    <xf numFmtId="189" fontId="8" fillId="0" borderId="19" xfId="5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91" fontId="8" fillId="0" borderId="16" xfId="46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/>
    </xf>
    <xf numFmtId="38" fontId="8" fillId="0" borderId="26" xfId="46" applyFont="1" applyBorder="1" applyAlignment="1" applyProtection="1">
      <alignment horizontal="right"/>
      <protection/>
    </xf>
    <xf numFmtId="9" fontId="8" fillId="0" borderId="27" xfId="5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8" xfId="0" applyFont="1" applyBorder="1" applyAlignment="1" applyProtection="1">
      <alignment horizontal="centerContinuous"/>
      <protection/>
    </xf>
    <xf numFmtId="0" fontId="8" fillId="0" borderId="18" xfId="0" applyFont="1" applyBorder="1" applyAlignment="1">
      <alignment/>
    </xf>
    <xf numFmtId="3" fontId="8" fillId="0" borderId="23" xfId="0" applyNumberFormat="1" applyFont="1" applyBorder="1" applyAlignment="1" applyProtection="1">
      <alignment horizontal="right"/>
      <protection/>
    </xf>
    <xf numFmtId="9" fontId="8" fillId="0" borderId="19" xfId="50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9" fontId="8" fillId="0" borderId="18" xfId="50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3" fontId="8" fillId="0" borderId="26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8" fillId="0" borderId="23" xfId="0" applyFont="1" applyBorder="1" applyAlignment="1">
      <alignment/>
    </xf>
    <xf numFmtId="40" fontId="8" fillId="0" borderId="23" xfId="46" applyNumberFormat="1" applyFont="1" applyBorder="1" applyAlignment="1">
      <alignment/>
    </xf>
    <xf numFmtId="40" fontId="8" fillId="0" borderId="19" xfId="46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38" fontId="8" fillId="0" borderId="23" xfId="46" applyFont="1" applyBorder="1" applyAlignment="1">
      <alignment/>
    </xf>
    <xf numFmtId="38" fontId="8" fillId="0" borderId="19" xfId="46" applyFont="1" applyBorder="1" applyAlignment="1">
      <alignment/>
    </xf>
    <xf numFmtId="189" fontId="8" fillId="0" borderId="23" xfId="5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0" fontId="8" fillId="0" borderId="23" xfId="50" applyNumberFormat="1" applyFont="1" applyBorder="1" applyAlignment="1">
      <alignment/>
    </xf>
    <xf numFmtId="10" fontId="8" fillId="0" borderId="19" xfId="5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39" fontId="8" fillId="0" borderId="23" xfId="46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10" fontId="11" fillId="0" borderId="19" xfId="5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0" fontId="8" fillId="0" borderId="15" xfId="50" applyNumberFormat="1" applyFont="1" applyBorder="1" applyAlignment="1">
      <alignment/>
    </xf>
    <xf numFmtId="10" fontId="8" fillId="0" borderId="18" xfId="50" applyNumberFormat="1" applyFont="1" applyBorder="1" applyAlignment="1">
      <alignment/>
    </xf>
    <xf numFmtId="14" fontId="8" fillId="0" borderId="21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3" fontId="8" fillId="0" borderId="28" xfId="0" applyNumberFormat="1" applyFont="1" applyFill="1" applyBorder="1" applyAlignment="1" applyProtection="1">
      <alignment horizontal="right"/>
      <protection locked="0"/>
    </xf>
    <xf numFmtId="2" fontId="8" fillId="0" borderId="28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 quotePrefix="1">
      <alignment/>
      <protection/>
    </xf>
    <xf numFmtId="0" fontId="8" fillId="0" borderId="22" xfId="0" applyFont="1" applyBorder="1" applyAlignment="1" applyProtection="1" quotePrefix="1">
      <alignment/>
      <protection/>
    </xf>
    <xf numFmtId="2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8" fillId="1" borderId="13" xfId="0" applyNumberFormat="1" applyFont="1" applyFill="1" applyBorder="1" applyAlignment="1" applyProtection="1">
      <alignment horizontal="right"/>
      <protection/>
    </xf>
    <xf numFmtId="2" fontId="8" fillId="0" borderId="13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/>
      <protection/>
    </xf>
    <xf numFmtId="3" fontId="8" fillId="1" borderId="13" xfId="0" applyNumberFormat="1" applyFont="1" applyFill="1" applyBorder="1" applyAlignment="1">
      <alignment horizontal="right"/>
    </xf>
    <xf numFmtId="3" fontId="7" fillId="1" borderId="13" xfId="0" applyNumberFormat="1" applyFont="1" applyFill="1" applyBorder="1" applyAlignment="1">
      <alignment horizontal="right"/>
    </xf>
    <xf numFmtId="0" fontId="7" fillId="0" borderId="29" xfId="0" applyFont="1" applyBorder="1" applyAlignment="1" applyProtection="1">
      <alignment/>
      <protection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14" fontId="8" fillId="0" borderId="16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2" xfId="0" applyFont="1" applyBorder="1" applyAlignment="1" applyProtection="1">
      <alignment horizontal="left"/>
      <protection/>
    </xf>
    <xf numFmtId="0" fontId="8" fillId="0" borderId="20" xfId="0" applyFont="1" applyBorder="1" applyAlignment="1">
      <alignment/>
    </xf>
    <xf numFmtId="1" fontId="8" fillId="0" borderId="13" xfId="0" applyNumberFormat="1" applyFont="1" applyFill="1" applyBorder="1" applyAlignment="1">
      <alignment horizontal="right"/>
    </xf>
    <xf numFmtId="0" fontId="8" fillId="0" borderId="13" xfId="0" applyFont="1" applyBorder="1" applyAlignment="1" applyProtection="1" quotePrefix="1">
      <alignment horizontal="left"/>
      <protection/>
    </xf>
    <xf numFmtId="3" fontId="8" fillId="0" borderId="13" xfId="0" applyNumberFormat="1" applyFont="1" applyBorder="1" applyAlignment="1">
      <alignment/>
    </xf>
    <xf numFmtId="3" fontId="7" fillId="33" borderId="28" xfId="0" applyNumberFormat="1" applyFont="1" applyFill="1" applyBorder="1" applyAlignment="1" applyProtection="1">
      <alignment horizontal="right"/>
      <protection locked="0"/>
    </xf>
    <xf numFmtId="2" fontId="8" fillId="0" borderId="13" xfId="0" applyNumberFormat="1" applyFont="1" applyBorder="1" applyAlignment="1">
      <alignment/>
    </xf>
    <xf numFmtId="37" fontId="8" fillId="0" borderId="28" xfId="0" applyNumberFormat="1" applyFont="1" applyFill="1" applyBorder="1" applyAlignment="1" applyProtection="1">
      <alignment horizontal="right"/>
      <protection locked="0"/>
    </xf>
    <xf numFmtId="0" fontId="8" fillId="1" borderId="13" xfId="0" applyFont="1" applyFill="1" applyBorder="1" applyAlignment="1">
      <alignment horizontal="right"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quotePrefix="1">
      <alignment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9" xfId="0" applyFont="1" applyBorder="1" applyAlignment="1" quotePrefix="1">
      <alignment horizontal="left"/>
    </xf>
    <xf numFmtId="3" fontId="8" fillId="0" borderId="18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19" xfId="0" applyFont="1" applyBorder="1" applyAlignment="1" quotePrefix="1">
      <alignment horizontal="right"/>
    </xf>
    <xf numFmtId="0" fontId="8" fillId="0" borderId="18" xfId="0" applyFont="1" applyBorder="1" applyAlignment="1" quotePrefix="1">
      <alignment horizontal="right"/>
    </xf>
    <xf numFmtId="0" fontId="8" fillId="0" borderId="14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38" fontId="8" fillId="0" borderId="0" xfId="46" applyFont="1" applyAlignment="1">
      <alignment/>
    </xf>
    <xf numFmtId="0" fontId="8" fillId="0" borderId="0" xfId="0" applyFont="1" applyAlignment="1" quotePrefix="1">
      <alignment horizontal="left"/>
    </xf>
    <xf numFmtId="2" fontId="8" fillId="0" borderId="0" xfId="0" applyNumberFormat="1" applyFont="1" applyAlignment="1">
      <alignment/>
    </xf>
    <xf numFmtId="40" fontId="1" fillId="0" borderId="0" xfId="45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0" fontId="8" fillId="0" borderId="0" xfId="45" applyFont="1" applyAlignment="1">
      <alignment horizontal="right"/>
    </xf>
    <xf numFmtId="189" fontId="8" fillId="0" borderId="0" xfId="50" applyNumberFormat="1" applyFont="1" applyAlignment="1">
      <alignment horizontal="right"/>
    </xf>
    <xf numFmtId="10" fontId="8" fillId="0" borderId="0" xfId="50" applyNumberFormat="1" applyFont="1" applyAlignment="1">
      <alignment horizontal="right"/>
    </xf>
    <xf numFmtId="10" fontId="8" fillId="0" borderId="0" xfId="50" applyNumberFormat="1" applyFont="1" applyBorder="1" applyAlignment="1">
      <alignment horizontal="right"/>
    </xf>
    <xf numFmtId="40" fontId="8" fillId="0" borderId="0" xfId="45" applyFont="1" applyBorder="1" applyAlignment="1">
      <alignment horizontal="right"/>
    </xf>
    <xf numFmtId="189" fontId="8" fillId="0" borderId="0" xfId="50" applyNumberFormat="1" applyFont="1" applyBorder="1" applyAlignment="1">
      <alignment horizontal="right"/>
    </xf>
    <xf numFmtId="14" fontId="8" fillId="0" borderId="0" xfId="0" applyNumberFormat="1" applyFont="1" applyBorder="1" applyAlignment="1" applyProtection="1">
      <alignment horizontal="centerContinuous"/>
      <protection/>
    </xf>
    <xf numFmtId="14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13" xfId="0" applyFont="1" applyFill="1" applyBorder="1" applyAlignment="1" applyProtection="1">
      <alignment/>
      <protection/>
    </xf>
    <xf numFmtId="0" fontId="8" fillId="35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/>
    </xf>
    <xf numFmtId="14" fontId="8" fillId="35" borderId="21" xfId="0" applyNumberFormat="1" applyFont="1" applyFill="1" applyBorder="1" applyAlignment="1" applyProtection="1">
      <alignment horizontal="centerContinuous"/>
      <protection/>
    </xf>
    <xf numFmtId="14" fontId="8" fillId="35" borderId="16" xfId="0" applyNumberFormat="1" applyFont="1" applyFill="1" applyBorder="1" applyAlignment="1" applyProtection="1">
      <alignment horizontal="centerContinuous"/>
      <protection/>
    </xf>
    <xf numFmtId="14" fontId="8" fillId="35" borderId="16" xfId="0" applyNumberFormat="1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Continuous"/>
      <protection/>
    </xf>
    <xf numFmtId="0" fontId="7" fillId="0" borderId="20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centerContinuous"/>
      <protection/>
    </xf>
    <xf numFmtId="0" fontId="1" fillId="35" borderId="16" xfId="0" applyFont="1" applyFill="1" applyBorder="1" applyAlignment="1">
      <alignment/>
    </xf>
    <xf numFmtId="0" fontId="7" fillId="0" borderId="10" xfId="0" applyFont="1" applyBorder="1" applyAlignment="1" applyProtection="1">
      <alignment horizontal="centerContinuous"/>
      <protection/>
    </xf>
    <xf numFmtId="14" fontId="8" fillId="0" borderId="16" xfId="0" applyNumberFormat="1" applyFont="1" applyBorder="1" applyAlignment="1" applyProtection="1">
      <alignment horizontal="center"/>
      <protection/>
    </xf>
    <xf numFmtId="14" fontId="8" fillId="0" borderId="17" xfId="0" applyNumberFormat="1" applyFont="1" applyBorder="1" applyAlignment="1" applyProtection="1">
      <alignment horizontal="center"/>
      <protection/>
    </xf>
    <xf numFmtId="14" fontId="8" fillId="0" borderId="14" xfId="0" applyNumberFormat="1" applyFont="1" applyBorder="1" applyAlignment="1" applyProtection="1">
      <alignment horizontal="center"/>
      <protection/>
    </xf>
    <xf numFmtId="14" fontId="8" fillId="0" borderId="11" xfId="0" applyNumberFormat="1" applyFont="1" applyBorder="1" applyAlignment="1" applyProtection="1">
      <alignment horizontal="center"/>
      <protection/>
    </xf>
    <xf numFmtId="14" fontId="8" fillId="0" borderId="21" xfId="0" applyNumberFormat="1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zoomScalePageLayoutView="0" workbookViewId="0" topLeftCell="A148">
      <selection activeCell="A34" sqref="A34"/>
    </sheetView>
  </sheetViews>
  <sheetFormatPr defaultColWidth="9.140625" defaultRowHeight="12.75"/>
  <cols>
    <col min="1" max="1" width="37.57421875" style="0" customWidth="1"/>
    <col min="2" max="2" width="6.421875" style="0" customWidth="1"/>
    <col min="3" max="3" width="7.28125" style="0" customWidth="1"/>
    <col min="4" max="4" width="6.421875" style="0" customWidth="1"/>
    <col min="5" max="5" width="7.28125" style="0" customWidth="1"/>
    <col min="6" max="6" width="6.421875" style="0" customWidth="1"/>
    <col min="7" max="7" width="7.28125" style="0" customWidth="1"/>
    <col min="8" max="8" width="6.421875" style="0" customWidth="1"/>
    <col min="9" max="9" width="7.28125" style="0" customWidth="1"/>
    <col min="10" max="10" width="6.421875" style="0" customWidth="1"/>
    <col min="11" max="11" width="7.28125" style="0" customWidth="1"/>
    <col min="12" max="12" width="6.421875" style="0" customWidth="1"/>
    <col min="13" max="13" width="7.28125" style="0" customWidth="1"/>
    <col min="14" max="14" width="6.421875" style="0" customWidth="1"/>
    <col min="15" max="15" width="7.28125" style="0" customWidth="1"/>
    <col min="16" max="16" width="6.421875" style="0" customWidth="1"/>
    <col min="17" max="17" width="7.28125" style="0" customWidth="1"/>
    <col min="18" max="18" width="6.421875" style="0" customWidth="1"/>
    <col min="19" max="19" width="7.28125" style="0" customWidth="1"/>
    <col min="20" max="20" width="7.00390625" style="0" customWidth="1"/>
    <col min="21" max="21" width="7.8515625" style="0" customWidth="1"/>
  </cols>
  <sheetData>
    <row r="1" spans="1:256" s="219" customFormat="1" ht="12.75">
      <c r="A1" s="220" t="s">
        <v>24</v>
      </c>
      <c r="B1" s="220"/>
      <c r="C1" s="220"/>
      <c r="D1" s="220"/>
      <c r="E1" s="220"/>
      <c r="F1" s="220" t="s">
        <v>295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s="219" customFormat="1" ht="12.75">
      <c r="A2" s="220" t="s">
        <v>331</v>
      </c>
      <c r="B2" s="220"/>
      <c r="C2" s="220"/>
      <c r="D2" s="220"/>
      <c r="E2" s="220" t="s">
        <v>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2" ht="12.75">
      <c r="A3" s="229" t="s">
        <v>323</v>
      </c>
      <c r="B3" s="153">
        <v>37256</v>
      </c>
      <c r="C3" s="78"/>
      <c r="D3" s="77">
        <v>37621</v>
      </c>
      <c r="E3" s="78"/>
      <c r="F3" s="77">
        <v>37986</v>
      </c>
      <c r="G3" s="78"/>
      <c r="H3" s="77">
        <v>38352</v>
      </c>
      <c r="I3" s="78"/>
      <c r="J3" s="77">
        <v>38717</v>
      </c>
      <c r="K3" s="78"/>
      <c r="L3" s="77">
        <v>39082</v>
      </c>
      <c r="M3" s="78"/>
      <c r="N3" s="77">
        <v>39447</v>
      </c>
      <c r="O3" s="78"/>
      <c r="P3" s="77">
        <v>39813</v>
      </c>
      <c r="Q3" s="78"/>
      <c r="R3" s="77">
        <v>40178</v>
      </c>
      <c r="S3" s="78"/>
      <c r="T3" s="77">
        <v>40543</v>
      </c>
      <c r="U3" s="78"/>
      <c r="V3" s="80"/>
    </row>
    <row r="4" spans="1:22" ht="12.75">
      <c r="A4" s="154" t="s">
        <v>334</v>
      </c>
      <c r="B4" s="155" t="s">
        <v>4</v>
      </c>
      <c r="C4" s="156" t="s">
        <v>5</v>
      </c>
      <c r="D4" s="156" t="s">
        <v>4</v>
      </c>
      <c r="E4" s="156" t="s">
        <v>5</v>
      </c>
      <c r="F4" s="156" t="s">
        <v>4</v>
      </c>
      <c r="G4" s="156" t="s">
        <v>5</v>
      </c>
      <c r="H4" s="156" t="s">
        <v>4</v>
      </c>
      <c r="I4" s="156" t="s">
        <v>5</v>
      </c>
      <c r="J4" s="156" t="s">
        <v>4</v>
      </c>
      <c r="K4" s="156" t="s">
        <v>5</v>
      </c>
      <c r="L4" s="156" t="s">
        <v>4</v>
      </c>
      <c r="M4" s="156" t="s">
        <v>5</v>
      </c>
      <c r="N4" s="156" t="s">
        <v>4</v>
      </c>
      <c r="O4" s="156" t="s">
        <v>5</v>
      </c>
      <c r="P4" s="156" t="s">
        <v>4</v>
      </c>
      <c r="Q4" s="156" t="s">
        <v>5</v>
      </c>
      <c r="R4" s="156" t="s">
        <v>4</v>
      </c>
      <c r="S4" s="156" t="s">
        <v>5</v>
      </c>
      <c r="T4" s="156" t="s">
        <v>4</v>
      </c>
      <c r="U4" s="156" t="s">
        <v>5</v>
      </c>
      <c r="V4" s="80"/>
    </row>
    <row r="5" spans="1:22" ht="12.75">
      <c r="A5" s="157" t="s">
        <v>291</v>
      </c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80"/>
    </row>
    <row r="6" spans="1:22" ht="12.75">
      <c r="A6" s="157" t="s">
        <v>6</v>
      </c>
      <c r="B6" s="160">
        <v>240</v>
      </c>
      <c r="C6" s="161">
        <f>+B6*100/B41</f>
        <v>1.3487692480611442</v>
      </c>
      <c r="D6" s="160">
        <v>441</v>
      </c>
      <c r="E6" s="161">
        <f>+D6*100/D41</f>
        <v>2.7959170734799974</v>
      </c>
      <c r="F6" s="160">
        <v>552</v>
      </c>
      <c r="G6" s="161">
        <f>+F6*100/F41</f>
        <v>3.3689350015257857</v>
      </c>
      <c r="H6" s="160">
        <v>536</v>
      </c>
      <c r="I6" s="161">
        <f>+H6*100/H41</f>
        <v>3.1503467732455626</v>
      </c>
      <c r="J6" s="160">
        <v>526</v>
      </c>
      <c r="K6" s="161">
        <f>+J6*100/J41</f>
        <v>2.724823870700373</v>
      </c>
      <c r="L6" s="160">
        <v>404</v>
      </c>
      <c r="M6" s="161">
        <f>+L6*100/L41</f>
        <v>2.102414654454621</v>
      </c>
      <c r="N6" s="160">
        <v>320</v>
      </c>
      <c r="O6" s="161">
        <f>+N6*100/N41</f>
        <v>1.4820303816228233</v>
      </c>
      <c r="P6" s="160">
        <v>328</v>
      </c>
      <c r="Q6" s="161">
        <f>+P6*100/P41</f>
        <v>1.0867404413226427</v>
      </c>
      <c r="R6" s="160">
        <v>244</v>
      </c>
      <c r="S6" s="161">
        <f>+R6*100/R41</f>
        <v>0.821853211627202</v>
      </c>
      <c r="T6" s="160">
        <v>140</v>
      </c>
      <c r="U6" s="161">
        <f>+T6*100/T41</f>
        <v>0.5224270467945369</v>
      </c>
      <c r="V6" s="80"/>
    </row>
    <row r="7" spans="1:22" ht="12.75">
      <c r="A7" s="15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80"/>
    </row>
    <row r="8" spans="1:22" ht="12.75">
      <c r="A8" s="157" t="s">
        <v>7</v>
      </c>
      <c r="B8" s="160">
        <f>5832+11848</f>
        <v>17680</v>
      </c>
      <c r="C8" s="161"/>
      <c r="D8" s="160">
        <f>6210+13214</f>
        <v>19424</v>
      </c>
      <c r="E8" s="161"/>
      <c r="F8" s="160">
        <f>6841+14501</f>
        <v>21342</v>
      </c>
      <c r="G8" s="161"/>
      <c r="H8" s="160">
        <f>7394+15820</f>
        <v>23214</v>
      </c>
      <c r="I8" s="161"/>
      <c r="J8" s="160">
        <f>7750+16043</f>
        <v>23793</v>
      </c>
      <c r="K8" s="161"/>
      <c r="L8" s="160">
        <f>7444+26994</f>
        <v>34438</v>
      </c>
      <c r="M8" s="161"/>
      <c r="N8" s="160">
        <f>8027+28001</f>
        <v>36028</v>
      </c>
      <c r="O8" s="161"/>
      <c r="P8" s="160">
        <f>16952+16726</f>
        <v>33678</v>
      </c>
      <c r="Q8" s="161"/>
      <c r="R8" s="160">
        <f>17315+17831</f>
        <v>35146</v>
      </c>
      <c r="S8" s="161"/>
      <c r="T8" s="160">
        <f>16534+18941</f>
        <v>35475</v>
      </c>
      <c r="U8" s="161"/>
      <c r="V8" s="80"/>
    </row>
    <row r="9" spans="1:22" ht="12.75">
      <c r="A9" s="162" t="s">
        <v>8</v>
      </c>
      <c r="B9" s="160">
        <f>+D9+1366</f>
        <v>-11848</v>
      </c>
      <c r="C9" s="161"/>
      <c r="D9" s="160">
        <f>+F9+1287</f>
        <v>-13214</v>
      </c>
      <c r="E9" s="161"/>
      <c r="F9" s="160">
        <f>+H9+1319</f>
        <v>-14501</v>
      </c>
      <c r="G9" s="161"/>
      <c r="H9" s="160">
        <f>-6324-440-126-140-83-634-2558-5515</f>
        <v>-15820</v>
      </c>
      <c r="I9" s="161"/>
      <c r="J9" s="160">
        <f>+H9-1247+1287-125-28-1-5-10-15-79</f>
        <v>-16043</v>
      </c>
      <c r="K9" s="161"/>
      <c r="L9" s="160">
        <f>-2812-6486-470-145-149-91-2812-6486-685-6858</f>
        <v>-26994</v>
      </c>
      <c r="M9" s="161"/>
      <c r="N9" s="160">
        <f>-12-9-2-10-129-78-13-754+L9</f>
        <v>-28001</v>
      </c>
      <c r="O9" s="161"/>
      <c r="P9" s="160">
        <f>-6564-716-155-8-152-2-102-11-76-482-10-698-7-7612-117-14</f>
        <v>-16726</v>
      </c>
      <c r="Q9" s="161"/>
      <c r="R9" s="160">
        <f>+P9-201-74-4-4-801-8-2-11</f>
        <v>-17831</v>
      </c>
      <c r="S9" s="161"/>
      <c r="T9" s="160">
        <f>+R9-202-72-822-14</f>
        <v>-18941</v>
      </c>
      <c r="U9" s="161"/>
      <c r="V9" s="80"/>
    </row>
    <row r="10" spans="1:22" ht="12.75">
      <c r="A10" s="163"/>
      <c r="B10" s="95"/>
      <c r="C10" s="164"/>
      <c r="D10" s="95"/>
      <c r="E10" s="164"/>
      <c r="F10" s="95"/>
      <c r="G10" s="164"/>
      <c r="H10" s="165"/>
      <c r="I10" s="164"/>
      <c r="J10" s="165"/>
      <c r="K10" s="164"/>
      <c r="L10" s="165"/>
      <c r="M10" s="164"/>
      <c r="N10" s="165"/>
      <c r="O10" s="164"/>
      <c r="P10" s="165"/>
      <c r="Q10" s="164"/>
      <c r="R10" s="165"/>
      <c r="S10" s="164"/>
      <c r="T10" s="165"/>
      <c r="U10" s="164"/>
      <c r="V10" s="80"/>
    </row>
    <row r="11" spans="1:22" ht="12.75">
      <c r="A11" s="157" t="s">
        <v>9</v>
      </c>
      <c r="B11" s="166">
        <f>B8+B9</f>
        <v>5832</v>
      </c>
      <c r="C11" s="167">
        <f>B11*100/B41</f>
        <v>32.775092727885806</v>
      </c>
      <c r="D11" s="166">
        <f>D8+D9</f>
        <v>6210</v>
      </c>
      <c r="E11" s="167">
        <f>D11*100/D41</f>
        <v>39.37107715716731</v>
      </c>
      <c r="F11" s="166">
        <f>F8+F9</f>
        <v>6841</v>
      </c>
      <c r="G11" s="167">
        <f>F11*100/F41</f>
        <v>41.75160207506866</v>
      </c>
      <c r="H11" s="166">
        <f>H8+H9</f>
        <v>7394</v>
      </c>
      <c r="I11" s="167">
        <f>H11*100/H41</f>
        <v>43.45832843540614</v>
      </c>
      <c r="J11" s="166">
        <f>J8+J9</f>
        <v>7750</v>
      </c>
      <c r="K11" s="167">
        <f>J11*100/J41</f>
        <v>40.14711976792375</v>
      </c>
      <c r="L11" s="166">
        <f>L8+L9</f>
        <v>7444</v>
      </c>
      <c r="M11" s="167">
        <f>L11*100/L41</f>
        <v>38.73855120732723</v>
      </c>
      <c r="N11" s="166">
        <f>N8+N9</f>
        <v>8027</v>
      </c>
      <c r="O11" s="167">
        <f>N11*100/N41</f>
        <v>37.175805854020005</v>
      </c>
      <c r="P11" s="166">
        <f>P8+P9</f>
        <v>16952</v>
      </c>
      <c r="Q11" s="167">
        <f>P11*100/P41</f>
        <v>56.165926711284875</v>
      </c>
      <c r="R11" s="166">
        <f>R8+R9</f>
        <v>17315</v>
      </c>
      <c r="S11" s="167">
        <f>R11*100/R41</f>
        <v>58.32126376772542</v>
      </c>
      <c r="T11" s="166">
        <f>T8+T9</f>
        <v>16534</v>
      </c>
      <c r="U11" s="167">
        <f>T11*100/T41</f>
        <v>61.698634226434805</v>
      </c>
      <c r="V11" s="80"/>
    </row>
    <row r="12" spans="1:22" ht="12.75">
      <c r="A12" s="157" t="s">
        <v>10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80"/>
    </row>
    <row r="13" spans="1:22" ht="12.75">
      <c r="A13" s="157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80"/>
    </row>
    <row r="14" spans="1:22" ht="12.75">
      <c r="A14" s="157" t="s">
        <v>304</v>
      </c>
      <c r="B14" s="160"/>
      <c r="C14" s="161"/>
      <c r="D14" s="160"/>
      <c r="E14" s="161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0"/>
      <c r="S14" s="161"/>
      <c r="T14" s="160"/>
      <c r="U14" s="161"/>
      <c r="V14" s="80"/>
    </row>
    <row r="15" spans="1:22" ht="12.75">
      <c r="A15" s="157" t="s">
        <v>11</v>
      </c>
      <c r="B15" s="160"/>
      <c r="C15" s="161"/>
      <c r="D15" s="160"/>
      <c r="E15" s="161"/>
      <c r="F15" s="160"/>
      <c r="G15" s="161"/>
      <c r="H15" s="160">
        <v>250</v>
      </c>
      <c r="I15" s="161"/>
      <c r="J15" s="160">
        <v>1168</v>
      </c>
      <c r="K15" s="161"/>
      <c r="L15" s="160">
        <v>1214</v>
      </c>
      <c r="M15" s="161"/>
      <c r="N15" s="160">
        <v>1571</v>
      </c>
      <c r="O15" s="161"/>
      <c r="P15" s="160">
        <f>2+2143</f>
        <v>2145</v>
      </c>
      <c r="Q15" s="161"/>
      <c r="R15" s="160">
        <f>2+1843</f>
        <v>1845</v>
      </c>
      <c r="S15" s="161"/>
      <c r="T15" s="160"/>
      <c r="U15" s="161"/>
      <c r="V15" s="80"/>
    </row>
    <row r="16" spans="1:22" ht="12.75">
      <c r="A16" s="157" t="s">
        <v>253</v>
      </c>
      <c r="B16" s="160"/>
      <c r="C16" s="161"/>
      <c r="D16" s="160"/>
      <c r="E16" s="161"/>
      <c r="F16" s="160"/>
      <c r="G16" s="161"/>
      <c r="H16" s="160">
        <v>40</v>
      </c>
      <c r="I16" s="161"/>
      <c r="J16" s="160">
        <f>7+35</f>
        <v>42</v>
      </c>
      <c r="K16" s="161"/>
      <c r="L16" s="160">
        <f>23+8+1</f>
        <v>32</v>
      </c>
      <c r="M16" s="161"/>
      <c r="N16" s="160">
        <v>7</v>
      </c>
      <c r="O16" s="161"/>
      <c r="P16" s="160">
        <v>5</v>
      </c>
      <c r="Q16" s="161"/>
      <c r="R16" s="160">
        <v>3</v>
      </c>
      <c r="S16" s="161"/>
      <c r="T16" s="160"/>
      <c r="U16" s="161"/>
      <c r="V16" s="80"/>
    </row>
    <row r="17" spans="1:22" ht="12.75">
      <c r="A17" s="157" t="s">
        <v>254</v>
      </c>
      <c r="B17" s="160">
        <v>97</v>
      </c>
      <c r="C17" s="161"/>
      <c r="D17" s="160">
        <v>941</v>
      </c>
      <c r="E17" s="161"/>
      <c r="F17" s="160">
        <v>65</v>
      </c>
      <c r="G17" s="161"/>
      <c r="H17" s="160">
        <v>8</v>
      </c>
      <c r="I17" s="161"/>
      <c r="J17" s="160">
        <v>8</v>
      </c>
      <c r="K17" s="161"/>
      <c r="L17" s="160">
        <v>9</v>
      </c>
      <c r="M17" s="161"/>
      <c r="N17" s="160">
        <v>19</v>
      </c>
      <c r="O17" s="161"/>
      <c r="P17" s="160">
        <v>2</v>
      </c>
      <c r="Q17" s="161"/>
      <c r="R17" s="160">
        <v>3</v>
      </c>
      <c r="S17" s="161"/>
      <c r="T17" s="160">
        <v>2</v>
      </c>
      <c r="U17" s="161"/>
      <c r="V17" s="80"/>
    </row>
    <row r="18" spans="1:22" ht="12.75">
      <c r="A18" s="162"/>
      <c r="B18" s="95"/>
      <c r="C18" s="15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80"/>
    </row>
    <row r="19" spans="1:22" ht="12.75">
      <c r="A19" s="168" t="s">
        <v>12</v>
      </c>
      <c r="B19" s="169">
        <f>SUM(B14:B18)</f>
        <v>97</v>
      </c>
      <c r="C19" s="167">
        <f>B19*100/B41</f>
        <v>0.5451275710913791</v>
      </c>
      <c r="D19" s="169">
        <f>SUM(D14:D18)</f>
        <v>941</v>
      </c>
      <c r="E19" s="167">
        <f>D19*100/D41</f>
        <v>5.965891079693146</v>
      </c>
      <c r="F19" s="169">
        <f>SUM(F14:F18)</f>
        <v>65</v>
      </c>
      <c r="G19" s="167">
        <f>F19*100/F41</f>
        <v>0.3967043027158987</v>
      </c>
      <c r="H19" s="169">
        <f>SUM(H14:H18)</f>
        <v>298</v>
      </c>
      <c r="I19" s="167">
        <f>H19*100/H41</f>
        <v>1.7514987657223462</v>
      </c>
      <c r="J19" s="169">
        <f>SUM(J14:J18)</f>
        <v>1218</v>
      </c>
      <c r="K19" s="167">
        <f>J19*100/J41</f>
        <v>6.30957314546208</v>
      </c>
      <c r="L19" s="169">
        <f>SUM(L14:L18)</f>
        <v>1255</v>
      </c>
      <c r="M19" s="167">
        <f>L19*100/L41</f>
        <v>6.531015820149875</v>
      </c>
      <c r="N19" s="169">
        <f>SUM(N14:N18)</f>
        <v>1597</v>
      </c>
      <c r="O19" s="167">
        <f>N19*100/N41</f>
        <v>7.396257873286403</v>
      </c>
      <c r="P19" s="169">
        <f>SUM(P14:P18)</f>
        <v>2152</v>
      </c>
      <c r="Q19" s="167">
        <f>P19*100/P41</f>
        <v>7.130077529653436</v>
      </c>
      <c r="R19" s="169">
        <f>SUM(R14:R18)</f>
        <v>1851</v>
      </c>
      <c r="S19" s="167">
        <f>R19*100/R41</f>
        <v>6.234632355417832</v>
      </c>
      <c r="T19" s="169">
        <f>SUM(T14:T18)</f>
        <v>2</v>
      </c>
      <c r="U19" s="167">
        <f>T19*100/T41</f>
        <v>0.007463243525636242</v>
      </c>
      <c r="V19" s="80"/>
    </row>
    <row r="20" spans="1:22" ht="12.75">
      <c r="A20" s="162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80"/>
    </row>
    <row r="21" spans="1:22" ht="12.75">
      <c r="A21" s="157" t="s">
        <v>13</v>
      </c>
      <c r="B21" s="169">
        <f>B6+B11+B12+B19</f>
        <v>6169</v>
      </c>
      <c r="C21" s="167">
        <f>B21*100/B41</f>
        <v>34.66898954703833</v>
      </c>
      <c r="D21" s="169">
        <f>D6+D11+D12+D19</f>
        <v>7592</v>
      </c>
      <c r="E21" s="167">
        <f>D21*100/D41</f>
        <v>48.132885310340455</v>
      </c>
      <c r="F21" s="169">
        <f>F6+F11+F12+F19</f>
        <v>7458</v>
      </c>
      <c r="G21" s="167">
        <f>F21*100/F41</f>
        <v>45.51724137931034</v>
      </c>
      <c r="H21" s="169">
        <f>H6+H11+H12+H19</f>
        <v>8228</v>
      </c>
      <c r="I21" s="167">
        <f>H21*100/H41</f>
        <v>48.36017397437404</v>
      </c>
      <c r="J21" s="169">
        <f>J6+J11+J12+J19</f>
        <v>9494</v>
      </c>
      <c r="K21" s="167">
        <f>J21*100/J41</f>
        <v>49.1815167840862</v>
      </c>
      <c r="L21" s="169">
        <f>L6+L11+L12+L19</f>
        <v>9103</v>
      </c>
      <c r="M21" s="167">
        <f>L21*100/L41</f>
        <v>47.37198168193172</v>
      </c>
      <c r="N21" s="169">
        <f>N6+N11+N12+N19</f>
        <v>9944</v>
      </c>
      <c r="O21" s="167">
        <f>N21*100/N41</f>
        <v>46.054094108929235</v>
      </c>
      <c r="P21" s="169">
        <f>P6+P11+P12+P19</f>
        <v>19432</v>
      </c>
      <c r="Q21" s="167">
        <f>P21*100/P41</f>
        <v>64.38274468226095</v>
      </c>
      <c r="R21" s="169">
        <f>R6+R11+R12+R19</f>
        <v>19410</v>
      </c>
      <c r="S21" s="167">
        <f>R21*100/R41</f>
        <v>65.37774933477046</v>
      </c>
      <c r="T21" s="169">
        <f>T6+T11+T12+T19</f>
        <v>16676</v>
      </c>
      <c r="U21" s="167">
        <f>T21*100/T41</f>
        <v>62.22852451675498</v>
      </c>
      <c r="V21" s="80"/>
    </row>
    <row r="22" spans="1:22" ht="12.75">
      <c r="A22" s="157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80"/>
    </row>
    <row r="23" spans="1:22" ht="12.75">
      <c r="A23" s="157" t="s">
        <v>14</v>
      </c>
      <c r="B23" s="160"/>
      <c r="C23" s="161"/>
      <c r="D23" s="160"/>
      <c r="E23" s="161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0"/>
      <c r="S23" s="161"/>
      <c r="T23" s="160"/>
      <c r="U23" s="161"/>
      <c r="V23" s="80"/>
    </row>
    <row r="24" spans="1:22" ht="12.75">
      <c r="A24" s="157" t="s">
        <v>15</v>
      </c>
      <c r="B24" s="160">
        <v>45</v>
      </c>
      <c r="C24" s="161"/>
      <c r="D24" s="160"/>
      <c r="E24" s="161"/>
      <c r="F24" s="160">
        <v>324</v>
      </c>
      <c r="G24" s="161"/>
      <c r="H24" s="160">
        <v>262</v>
      </c>
      <c r="I24" s="161"/>
      <c r="J24" s="160">
        <v>374</v>
      </c>
      <c r="K24" s="161"/>
      <c r="L24" s="160">
        <v>387</v>
      </c>
      <c r="M24" s="161"/>
      <c r="N24" s="160">
        <v>371</v>
      </c>
      <c r="O24" s="161"/>
      <c r="P24" s="160">
        <v>316</v>
      </c>
      <c r="Q24" s="161"/>
      <c r="R24" s="160">
        <v>214</v>
      </c>
      <c r="S24" s="161"/>
      <c r="T24" s="160">
        <v>399</v>
      </c>
      <c r="U24" s="161"/>
      <c r="V24" s="80"/>
    </row>
    <row r="25" spans="1:22" ht="12.75">
      <c r="A25" s="157" t="s">
        <v>305</v>
      </c>
      <c r="B25" s="160">
        <f>3345+873</f>
        <v>4218</v>
      </c>
      <c r="C25" s="161"/>
      <c r="D25" s="160">
        <v>4614</v>
      </c>
      <c r="E25" s="161"/>
      <c r="F25" s="160">
        <f>4102+584</f>
        <v>4686</v>
      </c>
      <c r="G25" s="161"/>
      <c r="H25" s="160">
        <f>4641+522</f>
        <v>5163</v>
      </c>
      <c r="I25" s="161"/>
      <c r="J25" s="160">
        <f>4941+340</f>
        <v>5281</v>
      </c>
      <c r="K25" s="161"/>
      <c r="L25" s="160">
        <f>6129+314</f>
        <v>6443</v>
      </c>
      <c r="M25" s="161"/>
      <c r="N25" s="160">
        <f>6489+363</f>
        <v>6852</v>
      </c>
      <c r="O25" s="161"/>
      <c r="P25" s="160">
        <f>6385+412</f>
        <v>6797</v>
      </c>
      <c r="Q25" s="161"/>
      <c r="R25" s="160">
        <f>486+6650</f>
        <v>7136</v>
      </c>
      <c r="S25" s="161"/>
      <c r="T25" s="160">
        <f>3892+529+1</f>
        <v>4422</v>
      </c>
      <c r="U25" s="161"/>
      <c r="V25" s="80"/>
    </row>
    <row r="26" spans="1:22" ht="12.75">
      <c r="A26" s="162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80"/>
    </row>
    <row r="27" spans="1:22" ht="12.75">
      <c r="A27" s="168" t="s">
        <v>16</v>
      </c>
      <c r="B27" s="169">
        <f>B23+B24+B25</f>
        <v>4263</v>
      </c>
      <c r="C27" s="167">
        <f>B27*100/B41</f>
        <v>23.957513768686074</v>
      </c>
      <c r="D27" s="169">
        <f>D23+D24+D25</f>
        <v>4614</v>
      </c>
      <c r="E27" s="167">
        <f>D27*100/D41</f>
        <v>29.25252012933494</v>
      </c>
      <c r="F27" s="169">
        <f>F23+F24+F25</f>
        <v>5010</v>
      </c>
      <c r="G27" s="167">
        <f>F27*100/F41</f>
        <v>30.57674702471773</v>
      </c>
      <c r="H27" s="169">
        <f>H23+H24+H25</f>
        <v>5425</v>
      </c>
      <c r="I27" s="167">
        <f>H27*100/H41</f>
        <v>31.885506053838014</v>
      </c>
      <c r="J27" s="169">
        <f>J23+J24+J25</f>
        <v>5655</v>
      </c>
      <c r="K27" s="167">
        <f>J27*100/J41</f>
        <v>29.294446746788232</v>
      </c>
      <c r="L27" s="169">
        <f>L23+L24+L25</f>
        <v>6830</v>
      </c>
      <c r="M27" s="167">
        <f>L27*100/L41</f>
        <v>35.54329725228976</v>
      </c>
      <c r="N27" s="169">
        <f>N23+N24+N25</f>
        <v>7223</v>
      </c>
      <c r="O27" s="167">
        <f>N27*100/N41</f>
        <v>33.452204520192666</v>
      </c>
      <c r="P27" s="169">
        <f>P23+P24+P25</f>
        <v>7113</v>
      </c>
      <c r="Q27" s="167">
        <f>P27*100/P41</f>
        <v>23.567026704658407</v>
      </c>
      <c r="R27" s="169">
        <f>R23+R24+R25</f>
        <v>7350</v>
      </c>
      <c r="S27" s="167">
        <f>R27*100/R41</f>
        <v>24.7566438748358</v>
      </c>
      <c r="T27" s="169">
        <f>T23+T24+T25</f>
        <v>4821</v>
      </c>
      <c r="U27" s="167">
        <f>T27*100/T41</f>
        <v>17.99014851854616</v>
      </c>
      <c r="V27" s="80"/>
    </row>
    <row r="28" spans="1:22" ht="12.75">
      <c r="A28" s="157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80"/>
    </row>
    <row r="29" spans="1:22" ht="12.75">
      <c r="A29" s="157" t="s">
        <v>306</v>
      </c>
      <c r="B29" s="160">
        <v>6818</v>
      </c>
      <c r="C29" s="167">
        <f>B29*100/B41</f>
        <v>38.316286388670335</v>
      </c>
      <c r="D29" s="160">
        <v>2835</v>
      </c>
      <c r="E29" s="167">
        <f>D29*100/D41</f>
        <v>17.973752615228555</v>
      </c>
      <c r="F29" s="160">
        <v>2875</v>
      </c>
      <c r="G29" s="167">
        <f>F29*100/F41</f>
        <v>17.546536466280134</v>
      </c>
      <c r="H29" s="160">
        <v>2675</v>
      </c>
      <c r="I29" s="167">
        <f>H29*100/H41</f>
        <v>15.722346303044551</v>
      </c>
      <c r="J29" s="160">
        <v>3308</v>
      </c>
      <c r="K29" s="167">
        <f>J29*100/J41</f>
        <v>17.13634479900539</v>
      </c>
      <c r="L29" s="160">
        <v>2764</v>
      </c>
      <c r="M29" s="167">
        <f>L29*100/L41</f>
        <v>14.383846794338051</v>
      </c>
      <c r="N29" s="160">
        <v>3888</v>
      </c>
      <c r="O29" s="167">
        <f>N29*100/N41</f>
        <v>18.006669136717303</v>
      </c>
      <c r="P29" s="160">
        <v>2949</v>
      </c>
      <c r="Q29" s="167">
        <f>P29*100/P41</f>
        <v>9.770724272745344</v>
      </c>
      <c r="R29" s="160">
        <v>2534</v>
      </c>
      <c r="S29" s="167">
        <f>R29*100/R41</f>
        <v>8.535147697800532</v>
      </c>
      <c r="T29" s="160">
        <v>2769</v>
      </c>
      <c r="U29" s="167">
        <f>T29*100/T41</f>
        <v>10.332860661243377</v>
      </c>
      <c r="V29" s="80"/>
    </row>
    <row r="30" spans="1:22" ht="12.75">
      <c r="A30" s="157" t="s">
        <v>307</v>
      </c>
      <c r="B30" s="160">
        <v>3</v>
      </c>
      <c r="C30" s="161"/>
      <c r="D30" s="160">
        <v>252</v>
      </c>
      <c r="E30" s="161"/>
      <c r="F30" s="160">
        <v>249</v>
      </c>
      <c r="G30" s="161"/>
      <c r="H30" s="160"/>
      <c r="I30" s="161"/>
      <c r="J30" s="160">
        <v>350</v>
      </c>
      <c r="K30" s="161"/>
      <c r="L30" s="160"/>
      <c r="M30" s="161"/>
      <c r="N30" s="160">
        <v>29</v>
      </c>
      <c r="O30" s="161"/>
      <c r="P30" s="160">
        <v>256</v>
      </c>
      <c r="Q30" s="161"/>
      <c r="R30" s="160">
        <v>256</v>
      </c>
      <c r="S30" s="161"/>
      <c r="T30" s="160">
        <v>2306</v>
      </c>
      <c r="U30" s="161"/>
      <c r="V30" s="80"/>
    </row>
    <row r="31" spans="1:22" ht="12.75">
      <c r="A31" s="157" t="s">
        <v>251</v>
      </c>
      <c r="B31" s="160"/>
      <c r="C31" s="161"/>
      <c r="D31" s="160"/>
      <c r="E31" s="161"/>
      <c r="F31" s="160"/>
      <c r="G31" s="161"/>
      <c r="H31" s="160">
        <f>7+211</f>
        <v>218</v>
      </c>
      <c r="I31" s="161"/>
      <c r="J31" s="160">
        <v>278</v>
      </c>
      <c r="K31" s="161"/>
      <c r="L31" s="160">
        <v>326</v>
      </c>
      <c r="M31" s="161"/>
      <c r="N31" s="160">
        <v>273</v>
      </c>
      <c r="O31" s="161"/>
      <c r="P31" s="160">
        <v>313</v>
      </c>
      <c r="Q31" s="161"/>
      <c r="R31" s="160">
        <v>100</v>
      </c>
      <c r="S31" s="161"/>
      <c r="T31" s="160">
        <v>25</v>
      </c>
      <c r="U31" s="161"/>
      <c r="V31" s="80"/>
    </row>
    <row r="32" spans="1:22" ht="12.75">
      <c r="A32" s="157" t="s">
        <v>252</v>
      </c>
      <c r="B32" s="160">
        <f>467+20</f>
        <v>487</v>
      </c>
      <c r="C32" s="161"/>
      <c r="D32" s="160">
        <f>350+18</f>
        <v>368</v>
      </c>
      <c r="E32" s="161"/>
      <c r="F32" s="160">
        <f>334+19</f>
        <v>353</v>
      </c>
      <c r="G32" s="161"/>
      <c r="H32" s="160">
        <f>22+39</f>
        <v>61</v>
      </c>
      <c r="I32" s="161"/>
      <c r="J32" s="160">
        <f>21</f>
        <v>21</v>
      </c>
      <c r="K32" s="161"/>
      <c r="L32" s="160">
        <v>20</v>
      </c>
      <c r="M32" s="161"/>
      <c r="N32" s="160">
        <f>25+1</f>
        <v>26</v>
      </c>
      <c r="O32" s="161"/>
      <c r="P32" s="160">
        <f>24</f>
        <v>24</v>
      </c>
      <c r="Q32" s="161"/>
      <c r="R32" s="160">
        <v>22</v>
      </c>
      <c r="S32" s="161"/>
      <c r="T32" s="160">
        <f>6+30+6</f>
        <v>42</v>
      </c>
      <c r="U32" s="161"/>
      <c r="V32" s="80"/>
    </row>
    <row r="33" spans="1:22" ht="12.75">
      <c r="A33" s="157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80"/>
    </row>
    <row r="34" spans="1:22" ht="12.75">
      <c r="A34" s="157" t="s">
        <v>17</v>
      </c>
      <c r="B34" s="160"/>
      <c r="C34" s="161"/>
      <c r="D34" s="160"/>
      <c r="E34" s="161"/>
      <c r="F34" s="160">
        <v>336</v>
      </c>
      <c r="G34" s="161"/>
      <c r="H34" s="160">
        <v>336</v>
      </c>
      <c r="I34" s="161"/>
      <c r="J34" s="160">
        <v>152</v>
      </c>
      <c r="K34" s="161"/>
      <c r="L34" s="160">
        <v>133</v>
      </c>
      <c r="M34" s="161"/>
      <c r="N34" s="160">
        <f>143+1</f>
        <v>144</v>
      </c>
      <c r="O34" s="161"/>
      <c r="P34" s="160">
        <v>94</v>
      </c>
      <c r="Q34" s="161"/>
      <c r="R34" s="160">
        <v>16</v>
      </c>
      <c r="S34" s="161"/>
      <c r="T34" s="160">
        <v>16</v>
      </c>
      <c r="U34" s="161"/>
      <c r="V34" s="80"/>
    </row>
    <row r="35" spans="1:22" ht="12.75">
      <c r="A35" s="157" t="s">
        <v>18</v>
      </c>
      <c r="B35" s="160">
        <v>54</v>
      </c>
      <c r="C35" s="161"/>
      <c r="D35" s="160">
        <v>112</v>
      </c>
      <c r="E35" s="161"/>
      <c r="F35" s="160">
        <v>104</v>
      </c>
      <c r="G35" s="161"/>
      <c r="H35" s="160">
        <v>71</v>
      </c>
      <c r="I35" s="161"/>
      <c r="J35" s="160">
        <v>46</v>
      </c>
      <c r="K35" s="161"/>
      <c r="L35" s="160">
        <v>40</v>
      </c>
      <c r="M35" s="161"/>
      <c r="N35" s="160">
        <v>65</v>
      </c>
      <c r="O35" s="161"/>
      <c r="P35" s="160">
        <v>1</v>
      </c>
      <c r="Q35" s="161"/>
      <c r="R35" s="160">
        <v>1</v>
      </c>
      <c r="S35" s="161"/>
      <c r="T35" s="160">
        <v>143</v>
      </c>
      <c r="U35" s="161"/>
      <c r="V35" s="80"/>
    </row>
    <row r="36" spans="1:22" ht="12.75">
      <c r="A36" s="162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80"/>
    </row>
    <row r="37" spans="1:22" ht="12.75">
      <c r="A37" s="168" t="s">
        <v>19</v>
      </c>
      <c r="B37" s="169">
        <f>B34+B35</f>
        <v>54</v>
      </c>
      <c r="C37" s="167">
        <f>B37*100/B41</f>
        <v>0.30347308081375746</v>
      </c>
      <c r="D37" s="169">
        <f>D34+D35</f>
        <v>112</v>
      </c>
      <c r="E37" s="167">
        <f>D37*100/D41</f>
        <v>0.7100741773917454</v>
      </c>
      <c r="F37" s="169">
        <f>F34+F35</f>
        <v>440</v>
      </c>
      <c r="G37" s="167">
        <f>F37*100/F41</f>
        <v>2.6853829722306988</v>
      </c>
      <c r="H37" s="169">
        <f>H34+H35</f>
        <v>407</v>
      </c>
      <c r="I37" s="167">
        <f>H37*100/H41</f>
        <v>2.3921476431174327</v>
      </c>
      <c r="J37" s="169">
        <f>J34+J35</f>
        <v>198</v>
      </c>
      <c r="K37" s="167">
        <f>J37*100/J41</f>
        <v>1.0256941566514712</v>
      </c>
      <c r="L37" s="169">
        <f>L34+L35</f>
        <v>173</v>
      </c>
      <c r="M37" s="167">
        <f>L37*100/L41</f>
        <v>0.9002914238134888</v>
      </c>
      <c r="N37" s="169">
        <f>N34+N35</f>
        <v>209</v>
      </c>
      <c r="O37" s="167">
        <f>N37*100/N41</f>
        <v>0.9679510929974064</v>
      </c>
      <c r="P37" s="169">
        <f>P34+P35</f>
        <v>95</v>
      </c>
      <c r="Q37" s="167">
        <f>P37*100/P41</f>
        <v>0.3147571400172288</v>
      </c>
      <c r="R37" s="169">
        <f>R34+R35</f>
        <v>17</v>
      </c>
      <c r="S37" s="167">
        <f>R37*100/R41</f>
        <v>0.057260264744518174</v>
      </c>
      <c r="T37" s="169">
        <f>T34+T35</f>
        <v>159</v>
      </c>
      <c r="U37" s="167">
        <f>T37*100/T41</f>
        <v>0.5933278602880812</v>
      </c>
      <c r="V37" s="80"/>
    </row>
    <row r="38" spans="1:22" ht="12.75">
      <c r="A38" s="162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80"/>
    </row>
    <row r="39" spans="1:22" ht="12.75">
      <c r="A39" s="168" t="s">
        <v>20</v>
      </c>
      <c r="B39" s="170">
        <f>B27+B29+B30+B31+B32+B37</f>
        <v>11625</v>
      </c>
      <c r="C39" s="167">
        <f>B39*100/B41</f>
        <v>65.33101045296168</v>
      </c>
      <c r="D39" s="170">
        <f>D27+D29+D30+D31+D32+D37</f>
        <v>8181</v>
      </c>
      <c r="E39" s="167">
        <f>D39*100/D41</f>
        <v>51.867114689659545</v>
      </c>
      <c r="F39" s="170">
        <f>F27+F29+F30+F31+F32+F37</f>
        <v>8927</v>
      </c>
      <c r="G39" s="167">
        <f>F39*100/F41</f>
        <v>54.48275862068966</v>
      </c>
      <c r="H39" s="170">
        <f>H27+H29+H30+H31+H32+H37</f>
        <v>8786</v>
      </c>
      <c r="I39" s="167">
        <f>H39*100/H41</f>
        <v>51.63982602562596</v>
      </c>
      <c r="J39" s="170">
        <f>J27+J29+J30+J31+J32+J37</f>
        <v>9810</v>
      </c>
      <c r="K39" s="167">
        <f>J39*100/J41</f>
        <v>50.8184832159138</v>
      </c>
      <c r="L39" s="170">
        <f>L27+L29+L30+L31+L32+L37</f>
        <v>10113</v>
      </c>
      <c r="M39" s="167">
        <f>L39*100/L41</f>
        <v>52.62801831806828</v>
      </c>
      <c r="N39" s="170">
        <f>N27+N29+N30+N31+N32+N37</f>
        <v>11648</v>
      </c>
      <c r="O39" s="167">
        <f>N39*100/N41</f>
        <v>53.945905891070765</v>
      </c>
      <c r="P39" s="170">
        <f>P27+P29+P30+P31+P32+P37</f>
        <v>10750</v>
      </c>
      <c r="Q39" s="167">
        <f>P39*100/P41</f>
        <v>35.61725531773905</v>
      </c>
      <c r="R39" s="170">
        <f>R27+R29+R30+R31+R32+R37</f>
        <v>10279</v>
      </c>
      <c r="S39" s="167">
        <f>R39*100/R41</f>
        <v>34.622250665229544</v>
      </c>
      <c r="T39" s="170">
        <f>T27+T29+T30+T31+T32+T37</f>
        <v>10122</v>
      </c>
      <c r="U39" s="167">
        <f>T39*100/T41</f>
        <v>37.77147548324502</v>
      </c>
      <c r="V39" s="80"/>
    </row>
    <row r="40" spans="1:22" ht="13.5" thickBot="1">
      <c r="A40" s="16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80"/>
    </row>
    <row r="41" spans="1:22" ht="13.5" thickBot="1">
      <c r="A41" s="171" t="s">
        <v>21</v>
      </c>
      <c r="B41" s="170">
        <f>B21+B39</f>
        <v>17794</v>
      </c>
      <c r="C41" s="167">
        <v>100</v>
      </c>
      <c r="D41" s="170">
        <f>D21+D39</f>
        <v>15773</v>
      </c>
      <c r="E41" s="172">
        <v>100</v>
      </c>
      <c r="F41" s="170">
        <f>F21+F39</f>
        <v>16385</v>
      </c>
      <c r="G41" s="172">
        <v>100</v>
      </c>
      <c r="H41" s="170">
        <f>H21+H39</f>
        <v>17014</v>
      </c>
      <c r="I41" s="172">
        <v>100</v>
      </c>
      <c r="J41" s="170">
        <f>J21+J39</f>
        <v>19304</v>
      </c>
      <c r="K41" s="172">
        <v>100</v>
      </c>
      <c r="L41" s="170">
        <f>L21+L39</f>
        <v>19216</v>
      </c>
      <c r="M41" s="172">
        <v>100</v>
      </c>
      <c r="N41" s="170">
        <f>N21+N39</f>
        <v>21592</v>
      </c>
      <c r="O41" s="172">
        <v>100</v>
      </c>
      <c r="P41" s="170">
        <f>P21+P39</f>
        <v>30182</v>
      </c>
      <c r="Q41" s="172">
        <v>100</v>
      </c>
      <c r="R41" s="170">
        <f>R21+R39</f>
        <v>29689</v>
      </c>
      <c r="S41" s="172">
        <v>100</v>
      </c>
      <c r="T41" s="170">
        <f>T21+T39</f>
        <v>26798</v>
      </c>
      <c r="U41" s="172">
        <v>100</v>
      </c>
      <c r="V41" s="80"/>
    </row>
    <row r="42" spans="1:22" ht="12.75">
      <c r="A42" s="157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80"/>
    </row>
    <row r="43" spans="1:22" ht="12.75">
      <c r="A43" s="17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80"/>
    </row>
    <row r="44" spans="1:22" ht="12.75">
      <c r="A44" s="162" t="s">
        <v>22</v>
      </c>
      <c r="B44" s="160">
        <v>2051</v>
      </c>
      <c r="C44" s="164"/>
      <c r="D44" s="160">
        <v>1934</v>
      </c>
      <c r="E44" s="95"/>
      <c r="F44" s="160">
        <v>1811</v>
      </c>
      <c r="G44" s="95"/>
      <c r="H44" s="160">
        <v>1757</v>
      </c>
      <c r="I44" s="95"/>
      <c r="J44" s="160">
        <v>1688</v>
      </c>
      <c r="K44" s="95"/>
      <c r="L44" s="160">
        <v>1628</v>
      </c>
      <c r="M44" s="95"/>
      <c r="N44" s="160">
        <v>1529</v>
      </c>
      <c r="O44" s="95"/>
      <c r="P44" s="160">
        <v>9740</v>
      </c>
      <c r="Q44" s="95"/>
      <c r="R44" s="160">
        <v>9539</v>
      </c>
      <c r="S44" s="95"/>
      <c r="T44" s="160">
        <v>9341</v>
      </c>
      <c r="U44" s="95"/>
      <c r="V44" s="80"/>
    </row>
    <row r="45" spans="1:22" ht="12.75">
      <c r="A45" s="162" t="s">
        <v>23</v>
      </c>
      <c r="B45" s="160">
        <v>552</v>
      </c>
      <c r="C45" s="164"/>
      <c r="D45" s="160">
        <v>524</v>
      </c>
      <c r="E45" s="95"/>
      <c r="F45" s="160">
        <v>469</v>
      </c>
      <c r="G45" s="95"/>
      <c r="H45" s="160">
        <v>471</v>
      </c>
      <c r="I45" s="95"/>
      <c r="J45" s="160">
        <v>472</v>
      </c>
      <c r="K45" s="95"/>
      <c r="L45" s="160">
        <v>524</v>
      </c>
      <c r="M45" s="95"/>
      <c r="N45" s="160">
        <v>539</v>
      </c>
      <c r="O45" s="95"/>
      <c r="P45" s="160">
        <v>541</v>
      </c>
      <c r="Q45" s="95"/>
      <c r="R45" s="160">
        <v>502</v>
      </c>
      <c r="S45" s="95"/>
      <c r="T45" s="160">
        <v>443</v>
      </c>
      <c r="U45" s="95"/>
      <c r="V45" s="80"/>
    </row>
    <row r="46" spans="1:22" ht="12.75">
      <c r="A46" s="174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56" s="219" customFormat="1" ht="12.75">
      <c r="A47" s="220" t="s">
        <v>24</v>
      </c>
      <c r="B47" s="220"/>
      <c r="C47" s="220"/>
      <c r="D47" s="220"/>
      <c r="E47" s="220"/>
      <c r="F47" s="220" t="s">
        <v>73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</row>
    <row r="48" spans="1:256" s="219" customFormat="1" ht="12.75">
      <c r="A48" s="220" t="s">
        <v>331</v>
      </c>
      <c r="B48" s="220"/>
      <c r="C48" s="220"/>
      <c r="D48" s="220"/>
      <c r="E48" s="220" t="s">
        <v>73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</row>
    <row r="49" spans="1:22" ht="12.75">
      <c r="A49" s="232" t="s">
        <v>333</v>
      </c>
      <c r="B49" s="175">
        <f>+B3</f>
        <v>37256</v>
      </c>
      <c r="C49" s="176"/>
      <c r="D49" s="175">
        <f>+D3</f>
        <v>37621</v>
      </c>
      <c r="E49" s="176"/>
      <c r="F49" s="175">
        <f>+F3</f>
        <v>37986</v>
      </c>
      <c r="G49" s="176"/>
      <c r="H49" s="175">
        <f>+H3</f>
        <v>38352</v>
      </c>
      <c r="I49" s="176"/>
      <c r="J49" s="175">
        <f>+J3</f>
        <v>38717</v>
      </c>
      <c r="K49" s="176"/>
      <c r="L49" s="175">
        <f>+L3</f>
        <v>39082</v>
      </c>
      <c r="M49" s="176"/>
      <c r="N49" s="175">
        <f>+N3</f>
        <v>39447</v>
      </c>
      <c r="O49" s="176"/>
      <c r="P49" s="175">
        <f>+P3</f>
        <v>39813</v>
      </c>
      <c r="Q49" s="176"/>
      <c r="R49" s="175">
        <f>+R3</f>
        <v>40178</v>
      </c>
      <c r="S49" s="176"/>
      <c r="T49" s="175">
        <f>+T3</f>
        <v>40543</v>
      </c>
      <c r="U49" s="176"/>
      <c r="V49" s="80"/>
    </row>
    <row r="50" spans="1:22" ht="12.75">
      <c r="A50" s="177" t="s">
        <v>25</v>
      </c>
      <c r="B50" s="142" t="s">
        <v>4</v>
      </c>
      <c r="C50" s="142" t="s">
        <v>5</v>
      </c>
      <c r="D50" s="142" t="s">
        <v>4</v>
      </c>
      <c r="E50" s="142" t="s">
        <v>5</v>
      </c>
      <c r="F50" s="142" t="s">
        <v>4</v>
      </c>
      <c r="G50" s="142" t="s">
        <v>5</v>
      </c>
      <c r="H50" s="142" t="s">
        <v>4</v>
      </c>
      <c r="I50" s="142" t="s">
        <v>5</v>
      </c>
      <c r="J50" s="142" t="s">
        <v>4</v>
      </c>
      <c r="K50" s="142" t="s">
        <v>5</v>
      </c>
      <c r="L50" s="142" t="s">
        <v>4</v>
      </c>
      <c r="M50" s="142" t="s">
        <v>5</v>
      </c>
      <c r="N50" s="142" t="s">
        <v>4</v>
      </c>
      <c r="O50" s="142" t="s">
        <v>5</v>
      </c>
      <c r="P50" s="142" t="s">
        <v>4</v>
      </c>
      <c r="Q50" s="142" t="s">
        <v>5</v>
      </c>
      <c r="R50" s="142" t="s">
        <v>4</v>
      </c>
      <c r="S50" s="142" t="s">
        <v>5</v>
      </c>
      <c r="T50" s="142" t="s">
        <v>4</v>
      </c>
      <c r="U50" s="142" t="s">
        <v>5</v>
      </c>
      <c r="V50" s="80"/>
    </row>
    <row r="51" spans="1:22" ht="12.75">
      <c r="A51" s="15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80"/>
    </row>
    <row r="52" spans="1:22" ht="12.75">
      <c r="A52" s="157" t="s">
        <v>26</v>
      </c>
      <c r="B52" s="160">
        <v>5000</v>
      </c>
      <c r="C52" s="161"/>
      <c r="D52" s="160">
        <f>+B52</f>
        <v>5000</v>
      </c>
      <c r="E52" s="161"/>
      <c r="F52" s="160">
        <f>+D52</f>
        <v>5000</v>
      </c>
      <c r="G52" s="161"/>
      <c r="H52" s="160">
        <v>5000</v>
      </c>
      <c r="I52" s="161"/>
      <c r="J52" s="160">
        <v>5000</v>
      </c>
      <c r="K52" s="161"/>
      <c r="L52" s="160">
        <v>5000</v>
      </c>
      <c r="M52" s="161"/>
      <c r="N52" s="160">
        <v>5000</v>
      </c>
      <c r="O52" s="161"/>
      <c r="P52" s="160">
        <v>5000</v>
      </c>
      <c r="Q52" s="161"/>
      <c r="R52" s="160">
        <v>5000</v>
      </c>
      <c r="S52" s="161"/>
      <c r="T52" s="160">
        <v>5000</v>
      </c>
      <c r="U52" s="161"/>
      <c r="V52" s="80"/>
    </row>
    <row r="53" spans="1:22" ht="12.75">
      <c r="A53" s="157" t="s">
        <v>289</v>
      </c>
      <c r="B53" s="160"/>
      <c r="C53" s="161"/>
      <c r="D53" s="160"/>
      <c r="E53" s="161"/>
      <c r="F53" s="160">
        <v>1571</v>
      </c>
      <c r="G53" s="161"/>
      <c r="H53" s="160">
        <f>+F53</f>
        <v>1571</v>
      </c>
      <c r="I53" s="161"/>
      <c r="J53" s="160">
        <f>350+1571</f>
        <v>1921</v>
      </c>
      <c r="K53" s="161"/>
      <c r="L53" s="160">
        <v>1571</v>
      </c>
      <c r="M53" s="161"/>
      <c r="N53" s="160">
        <v>1777</v>
      </c>
      <c r="O53" s="161"/>
      <c r="P53" s="160">
        <v>1777</v>
      </c>
      <c r="Q53" s="161"/>
      <c r="R53" s="160">
        <v>1777</v>
      </c>
      <c r="S53" s="161"/>
      <c r="T53" s="160">
        <v>1777</v>
      </c>
      <c r="U53" s="161"/>
      <c r="V53" s="80"/>
    </row>
    <row r="54" spans="1:22" ht="12.75">
      <c r="A54" s="157" t="s">
        <v>27</v>
      </c>
      <c r="B54" s="160"/>
      <c r="C54" s="161"/>
      <c r="D54" s="160"/>
      <c r="E54" s="161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61"/>
      <c r="T54" s="160"/>
      <c r="U54" s="161"/>
      <c r="V54" s="80"/>
    </row>
    <row r="55" spans="1:22" ht="12.75">
      <c r="A55" s="162" t="s">
        <v>28</v>
      </c>
      <c r="B55" s="160">
        <v>-1291</v>
      </c>
      <c r="C55" s="161"/>
      <c r="D55" s="160"/>
      <c r="E55" s="161"/>
      <c r="F55" s="160"/>
      <c r="G55" s="161"/>
      <c r="H55" s="160"/>
      <c r="I55" s="161"/>
      <c r="J55" s="160">
        <v>-350</v>
      </c>
      <c r="K55" s="161"/>
      <c r="L55" s="160"/>
      <c r="M55" s="161"/>
      <c r="N55" s="160"/>
      <c r="O55" s="161"/>
      <c r="P55" s="160"/>
      <c r="Q55" s="161"/>
      <c r="R55" s="160"/>
      <c r="S55" s="161"/>
      <c r="T55" s="160"/>
      <c r="U55" s="161"/>
      <c r="V55" s="80"/>
    </row>
    <row r="56" spans="1:22" ht="12.75">
      <c r="A56" s="162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80"/>
    </row>
    <row r="57" spans="1:22" ht="12.75">
      <c r="A57" s="168" t="s">
        <v>29</v>
      </c>
      <c r="B57" s="169">
        <f>B52+B53+B54+B55</f>
        <v>3709</v>
      </c>
      <c r="C57" s="167">
        <f>B57*100/B102</f>
        <v>20.8441047544116</v>
      </c>
      <c r="D57" s="169">
        <f>D52+D53+D54+D55</f>
        <v>5000</v>
      </c>
      <c r="E57" s="167">
        <f>D57*100/D102</f>
        <v>31.69974006213149</v>
      </c>
      <c r="F57" s="169">
        <f>F52+F53+F54+F55</f>
        <v>6571</v>
      </c>
      <c r="G57" s="167">
        <f>F57*100/F102</f>
        <v>40.10375343301801</v>
      </c>
      <c r="H57" s="169">
        <f>H52+H53+H54+H55</f>
        <v>6571</v>
      </c>
      <c r="I57" s="167">
        <f>H57*100/H102</f>
        <v>38.621135535441404</v>
      </c>
      <c r="J57" s="169">
        <f>J52+J53+J54+J55</f>
        <v>6571</v>
      </c>
      <c r="K57" s="167">
        <f>J57*100/J102</f>
        <v>34.03957728968089</v>
      </c>
      <c r="L57" s="169">
        <f>L52+L53+L54+L55</f>
        <v>6571</v>
      </c>
      <c r="M57" s="167">
        <f>L57*100/L102</f>
        <v>34.195462114904245</v>
      </c>
      <c r="N57" s="169">
        <f>N52+N53+N54+N55</f>
        <v>6777</v>
      </c>
      <c r="O57" s="167">
        <f>N57*100/N102</f>
        <v>31.386624675805855</v>
      </c>
      <c r="P57" s="169">
        <f>P52+P53+P54+P55</f>
        <v>6777</v>
      </c>
      <c r="Q57" s="167">
        <f>P57*100/P102</f>
        <v>22.45378039891326</v>
      </c>
      <c r="R57" s="169">
        <f>R52+R53+R54+R55</f>
        <v>6777</v>
      </c>
      <c r="S57" s="167">
        <f>R57*100/R102</f>
        <v>22.8266361278588</v>
      </c>
      <c r="T57" s="169">
        <f>T52+T53+T54+T55</f>
        <v>6777</v>
      </c>
      <c r="U57" s="167">
        <f>T57*100/T102</f>
        <v>25.289200686618404</v>
      </c>
      <c r="V57" s="80"/>
    </row>
    <row r="58" spans="1:22" ht="12.75">
      <c r="A58" s="157" t="s">
        <v>30</v>
      </c>
      <c r="B58" s="160"/>
      <c r="C58" s="161"/>
      <c r="D58" s="160"/>
      <c r="E58" s="161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>
        <v>8277</v>
      </c>
      <c r="Q58" s="161"/>
      <c r="R58" s="160">
        <v>8277</v>
      </c>
      <c r="S58" s="161"/>
      <c r="T58" s="160">
        <v>8277</v>
      </c>
      <c r="U58" s="161"/>
      <c r="V58" s="80"/>
    </row>
    <row r="59" spans="1:22" ht="12.75">
      <c r="A59" s="157" t="s">
        <v>31</v>
      </c>
      <c r="B59" s="160"/>
      <c r="C59" s="161"/>
      <c r="D59" s="160"/>
      <c r="E59" s="161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0"/>
      <c r="S59" s="161"/>
      <c r="T59" s="160"/>
      <c r="U59" s="161"/>
      <c r="V59" s="80"/>
    </row>
    <row r="60" spans="1:22" ht="12.75">
      <c r="A60" s="157" t="s">
        <v>32</v>
      </c>
      <c r="B60" s="160">
        <f>109+1432+497</f>
        <v>2038</v>
      </c>
      <c r="C60" s="161"/>
      <c r="D60" s="160">
        <f>110+1571+525+1</f>
        <v>2207</v>
      </c>
      <c r="E60" s="161"/>
      <c r="F60" s="160">
        <f>559+1571+112+1-1571</f>
        <v>672</v>
      </c>
      <c r="G60" s="161"/>
      <c r="H60" s="160">
        <f>112+457+1</f>
        <v>570</v>
      </c>
      <c r="I60" s="161"/>
      <c r="J60" s="160">
        <f>112+266+1</f>
        <v>379</v>
      </c>
      <c r="K60" s="161"/>
      <c r="L60" s="160">
        <f>112+212+2</f>
        <v>326</v>
      </c>
      <c r="M60" s="161"/>
      <c r="N60" s="160">
        <f>112</f>
        <v>112</v>
      </c>
      <c r="O60" s="161"/>
      <c r="P60" s="160">
        <f>115+54</f>
        <v>169</v>
      </c>
      <c r="Q60" s="161"/>
      <c r="R60" s="160">
        <f>115-489-1</f>
        <v>-375</v>
      </c>
      <c r="S60" s="161"/>
      <c r="T60" s="160">
        <f>115-1253-1</f>
        <v>-1139</v>
      </c>
      <c r="U60" s="161"/>
      <c r="V60" s="80"/>
    </row>
    <row r="61" spans="1:22" ht="12.75">
      <c r="A61" s="162" t="s">
        <v>33</v>
      </c>
      <c r="B61" s="160"/>
      <c r="C61" s="161"/>
      <c r="D61" s="160"/>
      <c r="E61" s="161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0"/>
      <c r="S61" s="161"/>
      <c r="T61" s="160"/>
      <c r="U61" s="161"/>
      <c r="V61" s="80"/>
    </row>
    <row r="62" spans="1:22" ht="12.75">
      <c r="A62" s="157" t="s">
        <v>34</v>
      </c>
      <c r="B62" s="160"/>
      <c r="C62" s="161"/>
      <c r="D62" s="160"/>
      <c r="E62" s="161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0"/>
      <c r="S62" s="161"/>
      <c r="T62" s="160"/>
      <c r="U62" s="161"/>
      <c r="V62" s="80"/>
    </row>
    <row r="63" spans="1:22" ht="12.75">
      <c r="A63" s="162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80"/>
    </row>
    <row r="64" spans="1:22" ht="12.75">
      <c r="A64" s="168" t="s">
        <v>35</v>
      </c>
      <c r="B64" s="169">
        <f>B58+B59+B60+B61+B62</f>
        <v>2038</v>
      </c>
      <c r="C64" s="167">
        <f>B64*100/B102</f>
        <v>11.453298864785882</v>
      </c>
      <c r="D64" s="169">
        <f>D58+D59+D60+D61+D62</f>
        <v>2207</v>
      </c>
      <c r="E64" s="167">
        <f>D64*100/D102</f>
        <v>13.99226526342484</v>
      </c>
      <c r="F64" s="169">
        <f>F58+F59+F60+F61+F62</f>
        <v>672</v>
      </c>
      <c r="G64" s="167">
        <f>F64*100/F102</f>
        <v>4.101312175770522</v>
      </c>
      <c r="H64" s="169">
        <f>H58+H59+H60+H61+H62</f>
        <v>570</v>
      </c>
      <c r="I64" s="167">
        <f>H64*100/H102</f>
        <v>3.350182202891736</v>
      </c>
      <c r="J64" s="169">
        <f>J58+J59+J60+J61+J62</f>
        <v>379</v>
      </c>
      <c r="K64" s="167">
        <f>J64*100/J102</f>
        <v>1.9633236634894322</v>
      </c>
      <c r="L64" s="169">
        <f>L58+L59+L60+L61+L62</f>
        <v>326</v>
      </c>
      <c r="M64" s="167">
        <f>L64*100/L102</f>
        <v>1.696502914238135</v>
      </c>
      <c r="N64" s="169">
        <f>N58+N59+N60+N61+N62</f>
        <v>112</v>
      </c>
      <c r="O64" s="167">
        <f>N64*100/N102</f>
        <v>0.5187106335679882</v>
      </c>
      <c r="P64" s="169">
        <f>P58+P59+P60+P61+P62</f>
        <v>8446</v>
      </c>
      <c r="Q64" s="167">
        <f>P64*100/P102</f>
        <v>27.98356636405805</v>
      </c>
      <c r="R64" s="169">
        <f>R58+R59+R60+R61+R62</f>
        <v>7902</v>
      </c>
      <c r="S64" s="167">
        <f>R64*100/R102</f>
        <v>26.615918353598975</v>
      </c>
      <c r="T64" s="169">
        <f>T58+T59+T60+T61+T62</f>
        <v>7138</v>
      </c>
      <c r="U64" s="167">
        <f>T64*100/T102</f>
        <v>26.636316142995746</v>
      </c>
      <c r="V64" s="80"/>
    </row>
    <row r="65" spans="1:22" ht="12.75">
      <c r="A65" s="157" t="s">
        <v>290</v>
      </c>
      <c r="B65" s="160">
        <v>29</v>
      </c>
      <c r="C65" s="161"/>
      <c r="D65" s="160">
        <v>36</v>
      </c>
      <c r="E65" s="161"/>
      <c r="F65" s="160">
        <v>-102</v>
      </c>
      <c r="G65" s="161"/>
      <c r="H65" s="160">
        <v>-191</v>
      </c>
      <c r="I65" s="161"/>
      <c r="J65" s="160">
        <v>-53</v>
      </c>
      <c r="K65" s="161"/>
      <c r="L65" s="160">
        <v>-972</v>
      </c>
      <c r="M65" s="161"/>
      <c r="N65" s="160">
        <v>57</v>
      </c>
      <c r="O65" s="161"/>
      <c r="P65" s="160">
        <v>-544</v>
      </c>
      <c r="Q65" s="161"/>
      <c r="R65" s="160">
        <v>-764</v>
      </c>
      <c r="S65" s="161"/>
      <c r="T65" s="160">
        <v>-10244</v>
      </c>
      <c r="U65" s="161"/>
      <c r="V65" s="80"/>
    </row>
    <row r="66" spans="1:22" ht="12.75">
      <c r="A66" s="162" t="s">
        <v>36</v>
      </c>
      <c r="B66" s="160"/>
      <c r="C66" s="161"/>
      <c r="D66" s="160"/>
      <c r="E66" s="161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0"/>
      <c r="S66" s="161"/>
      <c r="T66" s="160"/>
      <c r="U66" s="161"/>
      <c r="V66" s="80"/>
    </row>
    <row r="67" spans="1:22" ht="12.75">
      <c r="A67" s="162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80"/>
    </row>
    <row r="68" spans="1:22" ht="12.75">
      <c r="A68" s="168" t="s">
        <v>37</v>
      </c>
      <c r="B68" s="169">
        <f>B65+B66</f>
        <v>29</v>
      </c>
      <c r="C68" s="167">
        <f>B68*100/B102</f>
        <v>0.1629762841407216</v>
      </c>
      <c r="D68" s="169">
        <f>D65+D66</f>
        <v>36</v>
      </c>
      <c r="E68" s="167">
        <f>D68*100/D102</f>
        <v>0.22823812844734673</v>
      </c>
      <c r="F68" s="169">
        <f>F65+F66</f>
        <v>-102</v>
      </c>
      <c r="G68" s="167">
        <f>F68*100/F102</f>
        <v>-0.6225205981080256</v>
      </c>
      <c r="H68" s="169">
        <f>H65+H66</f>
        <v>-191</v>
      </c>
      <c r="I68" s="167">
        <f>H68*100/H102</f>
        <v>-1.1226049136005642</v>
      </c>
      <c r="J68" s="169">
        <f>J65+J66</f>
        <v>-53</v>
      </c>
      <c r="K68" s="167">
        <f>J68*100/J102</f>
        <v>-0.27455449647741403</v>
      </c>
      <c r="L68" s="169">
        <f>L65+L66</f>
        <v>-972</v>
      </c>
      <c r="M68" s="167">
        <f>L68*100/L102</f>
        <v>-5.058284762697752</v>
      </c>
      <c r="N68" s="169">
        <f>N65+N66</f>
        <v>57</v>
      </c>
      <c r="O68" s="167">
        <f>N68*100/N102</f>
        <v>0.2639866617265654</v>
      </c>
      <c r="P68" s="169">
        <f>P65+P66</f>
        <v>-544</v>
      </c>
      <c r="Q68" s="167">
        <f>P68*100/P102</f>
        <v>-1.8023987807302366</v>
      </c>
      <c r="R68" s="169">
        <f>R65+R66</f>
        <v>-764</v>
      </c>
      <c r="S68" s="167">
        <f>R68*100/R102</f>
        <v>-2.573343662635993</v>
      </c>
      <c r="T68" s="169">
        <f>T65+T66</f>
        <v>-10244</v>
      </c>
      <c r="U68" s="167">
        <f>T68*100/T102</f>
        <v>-38.226733338308826</v>
      </c>
      <c r="V68" s="80"/>
    </row>
    <row r="69" spans="1:22" ht="12.75">
      <c r="A69" s="162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80"/>
    </row>
    <row r="70" spans="1:22" ht="12.75">
      <c r="A70" s="168" t="s">
        <v>38</v>
      </c>
      <c r="B70" s="170">
        <f>B57+B64+B68</f>
        <v>5776</v>
      </c>
      <c r="C70" s="167">
        <f>B70*100/B102</f>
        <v>32.46037990333821</v>
      </c>
      <c r="D70" s="170">
        <f>D57+D64+D68</f>
        <v>7243</v>
      </c>
      <c r="E70" s="167">
        <f>D70*100/D102</f>
        <v>45.920243454003675</v>
      </c>
      <c r="F70" s="170">
        <f>F57+F64+F68</f>
        <v>7141</v>
      </c>
      <c r="G70" s="167">
        <f>F70*100/F102</f>
        <v>43.5825450106805</v>
      </c>
      <c r="H70" s="170">
        <f>H57+H64+H68</f>
        <v>6950</v>
      </c>
      <c r="I70" s="167">
        <f>H70*100/H102</f>
        <v>40.84871282473257</v>
      </c>
      <c r="J70" s="170">
        <f>J57+J64+J68</f>
        <v>6897</v>
      </c>
      <c r="K70" s="167">
        <f>J70*100/J102</f>
        <v>35.72834645669291</v>
      </c>
      <c r="L70" s="170">
        <f>L57+L64+L68</f>
        <v>5925</v>
      </c>
      <c r="M70" s="167">
        <f>L70*100/L102</f>
        <v>30.83368026644463</v>
      </c>
      <c r="N70" s="170">
        <f>N57+N64+N68</f>
        <v>6946</v>
      </c>
      <c r="O70" s="167">
        <f>N70*100/N102</f>
        <v>32.16932197110041</v>
      </c>
      <c r="P70" s="170">
        <f>P57+P64+P68</f>
        <v>14679</v>
      </c>
      <c r="Q70" s="167">
        <f>P70*100/P102</f>
        <v>48.63494798224107</v>
      </c>
      <c r="R70" s="170">
        <f>R57+R64+R68</f>
        <v>13915</v>
      </c>
      <c r="S70" s="167">
        <f>R70*100/R102</f>
        <v>46.869210818821784</v>
      </c>
      <c r="T70" s="170">
        <f>T57+T64+T68</f>
        <v>3671</v>
      </c>
      <c r="U70" s="167">
        <f>T70*100/T102</f>
        <v>13.69878349130532</v>
      </c>
      <c r="V70" s="80"/>
    </row>
    <row r="71" spans="1:22" ht="12.75">
      <c r="A71" s="162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80"/>
    </row>
    <row r="72" spans="1:22" ht="12.75">
      <c r="A72" s="157" t="s">
        <v>39</v>
      </c>
      <c r="B72" s="160"/>
      <c r="C72" s="161"/>
      <c r="D72" s="160"/>
      <c r="E72" s="161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0"/>
      <c r="S72" s="161"/>
      <c r="T72" s="160"/>
      <c r="U72" s="161"/>
      <c r="V72" s="80"/>
    </row>
    <row r="73" spans="1:22" ht="12.75">
      <c r="A73" s="157" t="s">
        <v>255</v>
      </c>
      <c r="B73" s="160"/>
      <c r="C73" s="161"/>
      <c r="D73" s="160"/>
      <c r="E73" s="161"/>
      <c r="F73" s="160"/>
      <c r="G73" s="161"/>
      <c r="H73" s="160"/>
      <c r="I73" s="161"/>
      <c r="J73" s="160">
        <v>4</v>
      </c>
      <c r="K73" s="161"/>
      <c r="L73" s="160"/>
      <c r="M73" s="161"/>
      <c r="N73" s="160"/>
      <c r="O73" s="161"/>
      <c r="P73" s="160">
        <v>3</v>
      </c>
      <c r="Q73" s="161"/>
      <c r="R73" s="160"/>
      <c r="S73" s="161"/>
      <c r="T73" s="160">
        <v>4493</v>
      </c>
      <c r="U73" s="161"/>
      <c r="V73" s="80"/>
    </row>
    <row r="74" spans="1:22" ht="12.75">
      <c r="A74" s="157" t="s">
        <v>40</v>
      </c>
      <c r="B74" s="160">
        <v>1567</v>
      </c>
      <c r="C74" s="161"/>
      <c r="D74" s="160">
        <v>1526</v>
      </c>
      <c r="E74" s="161"/>
      <c r="F74" s="160">
        <v>1545</v>
      </c>
      <c r="G74" s="161"/>
      <c r="H74" s="160">
        <v>1640</v>
      </c>
      <c r="I74" s="161"/>
      <c r="J74" s="160">
        <v>1767</v>
      </c>
      <c r="K74" s="161"/>
      <c r="L74" s="160">
        <v>1869</v>
      </c>
      <c r="M74" s="161"/>
      <c r="N74" s="160">
        <v>1918</v>
      </c>
      <c r="O74" s="161"/>
      <c r="P74" s="160">
        <v>1869</v>
      </c>
      <c r="Q74" s="161"/>
      <c r="R74" s="160">
        <v>1987</v>
      </c>
      <c r="S74" s="161"/>
      <c r="T74" s="160">
        <v>1915</v>
      </c>
      <c r="U74" s="161"/>
      <c r="V74" s="80"/>
    </row>
    <row r="75" spans="1:22" ht="12.75">
      <c r="A75" s="162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80"/>
    </row>
    <row r="76" spans="1:22" ht="12.75">
      <c r="A76" s="168" t="s">
        <v>41</v>
      </c>
      <c r="B76" s="169">
        <f>B72+B74+B73</f>
        <v>1567</v>
      </c>
      <c r="C76" s="167">
        <f>B76*100/B102</f>
        <v>8.806339215465888</v>
      </c>
      <c r="D76" s="169">
        <f>D72+D74+D73</f>
        <v>1526</v>
      </c>
      <c r="E76" s="167">
        <f>D76*100/D102</f>
        <v>9.67476066696253</v>
      </c>
      <c r="F76" s="169">
        <f>F72+F74+F73</f>
        <v>1545</v>
      </c>
      <c r="G76" s="167">
        <f>F76*100/F102</f>
        <v>9.429356118400976</v>
      </c>
      <c r="H76" s="169">
        <f>H72+H74+H73</f>
        <v>1640</v>
      </c>
      <c r="I76" s="167">
        <f>H76*100/H102</f>
        <v>9.639120724109556</v>
      </c>
      <c r="J76" s="169">
        <f>J72+J74+J73</f>
        <v>1771</v>
      </c>
      <c r="K76" s="167">
        <f>J76*100/J102</f>
        <v>9.17426440116038</v>
      </c>
      <c r="L76" s="169">
        <f>L72+L74+L73</f>
        <v>1869</v>
      </c>
      <c r="M76" s="167">
        <f>L76*100/L102</f>
        <v>9.726269775187344</v>
      </c>
      <c r="N76" s="169">
        <f>N72+N74+N73</f>
        <v>1918</v>
      </c>
      <c r="O76" s="167">
        <f>N76*100/N102</f>
        <v>8.882919599851798</v>
      </c>
      <c r="P76" s="169">
        <f>P72+P74+P73</f>
        <v>1872</v>
      </c>
      <c r="Q76" s="167">
        <f>P76*100/P102</f>
        <v>6.202372274865814</v>
      </c>
      <c r="R76" s="169">
        <f>R72+R74+R73</f>
        <v>1987</v>
      </c>
      <c r="S76" s="167">
        <f>R76*100/R102</f>
        <v>6.692714473373977</v>
      </c>
      <c r="T76" s="169">
        <f>T72+T74+T73</f>
        <v>6408</v>
      </c>
      <c r="U76" s="167">
        <f>T76*100/T102</f>
        <v>23.912232256138516</v>
      </c>
      <c r="V76" s="80"/>
    </row>
    <row r="77" spans="1:22" ht="12.75">
      <c r="A77" s="157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80"/>
    </row>
    <row r="78" spans="1:22" ht="12.75">
      <c r="A78" s="157" t="s">
        <v>308</v>
      </c>
      <c r="B78" s="160"/>
      <c r="C78" s="161"/>
      <c r="D78" s="160"/>
      <c r="E78" s="161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0"/>
      <c r="S78" s="161"/>
      <c r="T78" s="160"/>
      <c r="U78" s="161"/>
      <c r="V78" s="80"/>
    </row>
    <row r="79" spans="1:22" ht="12.75">
      <c r="A79" s="157" t="s">
        <v>42</v>
      </c>
      <c r="B79" s="160"/>
      <c r="C79" s="161"/>
      <c r="D79" s="160"/>
      <c r="E79" s="161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0"/>
      <c r="S79" s="161"/>
      <c r="T79" s="160"/>
      <c r="U79" s="161"/>
      <c r="V79" s="80"/>
    </row>
    <row r="80" spans="1:22" ht="12.75">
      <c r="A80" s="157" t="s">
        <v>43</v>
      </c>
      <c r="B80" s="160">
        <v>1750</v>
      </c>
      <c r="C80" s="161"/>
      <c r="D80" s="160">
        <v>1541</v>
      </c>
      <c r="E80" s="161"/>
      <c r="F80" s="160">
        <v>2350</v>
      </c>
      <c r="G80" s="161"/>
      <c r="H80" s="160">
        <v>1807</v>
      </c>
      <c r="I80" s="161"/>
      <c r="J80" s="160">
        <v>3605</v>
      </c>
      <c r="K80" s="161"/>
      <c r="L80" s="160">
        <v>3057</v>
      </c>
      <c r="M80" s="161"/>
      <c r="N80" s="160">
        <v>2908</v>
      </c>
      <c r="O80" s="161"/>
      <c r="P80" s="160">
        <v>3073</v>
      </c>
      <c r="Q80" s="161"/>
      <c r="R80" s="160">
        <v>4315</v>
      </c>
      <c r="S80" s="161"/>
      <c r="T80" s="160"/>
      <c r="U80" s="161"/>
      <c r="V80" s="80"/>
    </row>
    <row r="81" spans="1:22" ht="12.75">
      <c r="A81" s="157" t="s">
        <v>44</v>
      </c>
      <c r="B81" s="160">
        <v>2282</v>
      </c>
      <c r="C81" s="161"/>
      <c r="D81" s="160"/>
      <c r="E81" s="161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0"/>
      <c r="S81" s="161"/>
      <c r="T81" s="160">
        <v>4065</v>
      </c>
      <c r="U81" s="161"/>
      <c r="V81" s="80"/>
    </row>
    <row r="82" spans="1:22" ht="12.75">
      <c r="A82" s="157" t="s">
        <v>45</v>
      </c>
      <c r="B82" s="160">
        <v>20</v>
      </c>
      <c r="C82" s="161"/>
      <c r="D82" s="160">
        <f>20</f>
        <v>20</v>
      </c>
      <c r="E82" s="161"/>
      <c r="F82" s="160">
        <v>20</v>
      </c>
      <c r="G82" s="161"/>
      <c r="H82" s="160">
        <v>20</v>
      </c>
      <c r="I82" s="161"/>
      <c r="J82" s="160"/>
      <c r="K82" s="161"/>
      <c r="L82" s="160"/>
      <c r="M82" s="161"/>
      <c r="N82" s="160"/>
      <c r="O82" s="161"/>
      <c r="P82" s="160"/>
      <c r="Q82" s="161"/>
      <c r="R82" s="160">
        <v>730</v>
      </c>
      <c r="S82" s="161"/>
      <c r="T82" s="160"/>
      <c r="U82" s="161"/>
      <c r="V82" s="80"/>
    </row>
    <row r="83" spans="1:22" ht="12.75">
      <c r="A83" s="162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80"/>
    </row>
    <row r="84" spans="1:22" ht="12.75">
      <c r="A84" s="168" t="s">
        <v>46</v>
      </c>
      <c r="B84" s="170">
        <f>B78+B79+B80+B81+B82</f>
        <v>4052</v>
      </c>
      <c r="C84" s="167">
        <f>B84*100/B102</f>
        <v>22.77172080476565</v>
      </c>
      <c r="D84" s="170">
        <f>D78+D79+D80+D81+D82</f>
        <v>1561</v>
      </c>
      <c r="E84" s="167">
        <f>D84*100/D102</f>
        <v>9.896658847397452</v>
      </c>
      <c r="F84" s="170">
        <f>F78+F79+F80+F81+F82</f>
        <v>2370</v>
      </c>
      <c r="G84" s="167">
        <f>F84*100/F102</f>
        <v>14.464449191333538</v>
      </c>
      <c r="H84" s="170">
        <f>H78+H79+H80+H81+H82</f>
        <v>1827</v>
      </c>
      <c r="I84" s="167">
        <f>H84*100/H102</f>
        <v>10.738215587163513</v>
      </c>
      <c r="J84" s="170">
        <f>J78+J79+J80+J81+J82</f>
        <v>3605</v>
      </c>
      <c r="K84" s="167">
        <f>J84*100/J102</f>
        <v>18.674886033982595</v>
      </c>
      <c r="L84" s="170">
        <f>L78+L79+L80+L81+L82</f>
        <v>3057</v>
      </c>
      <c r="M84" s="167">
        <f>L84*100/L102</f>
        <v>15.908617818484597</v>
      </c>
      <c r="N84" s="170">
        <f>N78+N79+N80+N81+N82</f>
        <v>2908</v>
      </c>
      <c r="O84" s="167">
        <f>N84*100/N102</f>
        <v>13.467951092997406</v>
      </c>
      <c r="P84" s="170">
        <f>P78+P79+P80+P81+P82</f>
        <v>3073</v>
      </c>
      <c r="Q84" s="167">
        <f>P84*100/P102</f>
        <v>10.18156517129415</v>
      </c>
      <c r="R84" s="170">
        <f>R78+R79+R80+R81+R82</f>
        <v>5045</v>
      </c>
      <c r="S84" s="167">
        <f>R84*100/R102</f>
        <v>16.9928256256526</v>
      </c>
      <c r="T84" s="170">
        <f>T78+T79+T80+T81+T82</f>
        <v>4065</v>
      </c>
      <c r="U84" s="167">
        <f>T84*100/T102</f>
        <v>15.16904246585566</v>
      </c>
      <c r="V84" s="80"/>
    </row>
    <row r="85" spans="1:22" ht="12.75">
      <c r="A85" s="162"/>
      <c r="B85" s="100"/>
      <c r="C85" s="95"/>
      <c r="D85" s="100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80"/>
    </row>
    <row r="86" spans="1:22" ht="12.75">
      <c r="A86" s="157" t="s">
        <v>47</v>
      </c>
      <c r="B86" s="170">
        <f>B70+B76+B84</f>
        <v>11395</v>
      </c>
      <c r="C86" s="167">
        <f>B86*100/B102</f>
        <v>64.03843992356974</v>
      </c>
      <c r="D86" s="170">
        <f>D70+D76+D84</f>
        <v>10330</v>
      </c>
      <c r="E86" s="167">
        <f>D86*100/D102</f>
        <v>65.49166296836366</v>
      </c>
      <c r="F86" s="170">
        <f>F70+F76+F84</f>
        <v>11056</v>
      </c>
      <c r="G86" s="167">
        <f>F86*100/F102</f>
        <v>67.47635032041501</v>
      </c>
      <c r="H86" s="170">
        <f>H70+H76+H84</f>
        <v>10417</v>
      </c>
      <c r="I86" s="167">
        <f>H86*100/H102</f>
        <v>61.22604913600564</v>
      </c>
      <c r="J86" s="170">
        <f>J70+J76+J84</f>
        <v>12273</v>
      </c>
      <c r="K86" s="167">
        <f>J86*100/J102</f>
        <v>63.57749689183589</v>
      </c>
      <c r="L86" s="170">
        <f>L70+L76+L84</f>
        <v>10851</v>
      </c>
      <c r="M86" s="167">
        <f>L86*100/L102</f>
        <v>56.46856786011657</v>
      </c>
      <c r="N86" s="170">
        <f>N70+N76+N84</f>
        <v>11772</v>
      </c>
      <c r="O86" s="167">
        <f>N86*100/N102</f>
        <v>54.52019266394961</v>
      </c>
      <c r="P86" s="170">
        <f>P70+P76+P84</f>
        <v>19624</v>
      </c>
      <c r="Q86" s="167">
        <f>P86*100/P102</f>
        <v>65.01888542840103</v>
      </c>
      <c r="R86" s="170">
        <f>R70+R76+R84</f>
        <v>20947</v>
      </c>
      <c r="S86" s="167">
        <f>R86*100/R102</f>
        <v>70.55475091784837</v>
      </c>
      <c r="T86" s="170">
        <f>T70+T76+T84</f>
        <v>14144</v>
      </c>
      <c r="U86" s="167">
        <f>T86*100/T102</f>
        <v>52.7800582132995</v>
      </c>
      <c r="V86" s="80"/>
    </row>
    <row r="87" spans="1:22" ht="12.75">
      <c r="A87" s="162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80"/>
    </row>
    <row r="88" spans="1:22" ht="12.75">
      <c r="A88" s="180" t="s">
        <v>309</v>
      </c>
      <c r="B88" s="160">
        <v>4154</v>
      </c>
      <c r="C88" s="161"/>
      <c r="D88" s="160">
        <v>3460</v>
      </c>
      <c r="E88" s="161"/>
      <c r="F88" s="160">
        <v>3292</v>
      </c>
      <c r="G88" s="161"/>
      <c r="H88" s="160">
        <v>4991</v>
      </c>
      <c r="I88" s="161"/>
      <c r="J88" s="160">
        <v>4695</v>
      </c>
      <c r="K88" s="161"/>
      <c r="L88" s="160">
        <v>6282</v>
      </c>
      <c r="M88" s="161"/>
      <c r="N88" s="160">
        <v>7656</v>
      </c>
      <c r="O88" s="161"/>
      <c r="P88" s="160">
        <v>8389</v>
      </c>
      <c r="Q88" s="161"/>
      <c r="R88" s="160">
        <v>6440</v>
      </c>
      <c r="S88" s="161"/>
      <c r="T88" s="160">
        <v>7136</v>
      </c>
      <c r="U88" s="161"/>
      <c r="V88" s="80"/>
    </row>
    <row r="89" spans="1:22" ht="12.75">
      <c r="A89" s="180" t="s">
        <v>310</v>
      </c>
      <c r="B89" s="160"/>
      <c r="C89" s="161"/>
      <c r="D89" s="160"/>
      <c r="E89" s="161"/>
      <c r="F89" s="160"/>
      <c r="G89" s="161"/>
      <c r="H89" s="160"/>
      <c r="I89" s="161"/>
      <c r="J89" s="160"/>
      <c r="K89" s="161"/>
      <c r="L89" s="160"/>
      <c r="M89" s="161"/>
      <c r="N89" s="160">
        <v>29</v>
      </c>
      <c r="O89" s="161"/>
      <c r="P89" s="160"/>
      <c r="Q89" s="161"/>
      <c r="R89" s="160"/>
      <c r="S89" s="161"/>
      <c r="T89" s="160"/>
      <c r="U89" s="161"/>
      <c r="V89" s="80"/>
    </row>
    <row r="90" spans="1:22" ht="12.75">
      <c r="A90" s="162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80"/>
    </row>
    <row r="91" spans="1:22" ht="12.75">
      <c r="A91" s="168" t="s">
        <v>48</v>
      </c>
      <c r="B91" s="169">
        <f>B88+B89</f>
        <v>4154</v>
      </c>
      <c r="C91" s="167">
        <f>B91*100/B102</f>
        <v>23.34494773519164</v>
      </c>
      <c r="D91" s="169">
        <f>D88+D89</f>
        <v>3460</v>
      </c>
      <c r="E91" s="167">
        <f>D91*100/D102</f>
        <v>21.936220122994992</v>
      </c>
      <c r="F91" s="169">
        <f>F88+F89</f>
        <v>3292</v>
      </c>
      <c r="G91" s="167">
        <f>F91*100/F102</f>
        <v>20.09154714678059</v>
      </c>
      <c r="H91" s="169">
        <f>H88+H89</f>
        <v>4991</v>
      </c>
      <c r="I91" s="167">
        <f>H91*100/H102</f>
        <v>29.334665569530973</v>
      </c>
      <c r="J91" s="169">
        <f>J88+J89</f>
        <v>4695</v>
      </c>
      <c r="K91" s="167">
        <f>J91*100/J102</f>
        <v>24.321384169084126</v>
      </c>
      <c r="L91" s="169">
        <f>L88+L89</f>
        <v>6282</v>
      </c>
      <c r="M91" s="167">
        <f>L91*100/L102</f>
        <v>32.69150707743547</v>
      </c>
      <c r="N91" s="169">
        <f>N88+N89</f>
        <v>7685</v>
      </c>
      <c r="O91" s="167">
        <f>N91*100/N102</f>
        <v>35.591885883660616</v>
      </c>
      <c r="P91" s="169">
        <f>P88+P89</f>
        <v>8389</v>
      </c>
      <c r="Q91" s="167">
        <f>P91*100/P102</f>
        <v>27.79471208004771</v>
      </c>
      <c r="R91" s="169">
        <f>R88+R89</f>
        <v>6440</v>
      </c>
      <c r="S91" s="167">
        <f>R91*100/R102</f>
        <v>21.691535585570414</v>
      </c>
      <c r="T91" s="169">
        <f>T88+T89</f>
        <v>7136</v>
      </c>
      <c r="U91" s="167">
        <f>T91*100/T102</f>
        <v>26.62885289947011</v>
      </c>
      <c r="V91" s="80"/>
    </row>
    <row r="92" spans="1:22" ht="12.75">
      <c r="A92" s="157" t="s">
        <v>49</v>
      </c>
      <c r="B92" s="160">
        <v>1836</v>
      </c>
      <c r="C92" s="161"/>
      <c r="D92" s="160">
        <v>1559</v>
      </c>
      <c r="E92" s="161"/>
      <c r="F92" s="160">
        <v>1469</v>
      </c>
      <c r="G92" s="161"/>
      <c r="H92" s="160">
        <v>1148</v>
      </c>
      <c r="I92" s="161"/>
      <c r="J92" s="160">
        <v>1884</v>
      </c>
      <c r="K92" s="161"/>
      <c r="L92" s="160">
        <v>1645</v>
      </c>
      <c r="M92" s="161"/>
      <c r="N92" s="160">
        <v>1590</v>
      </c>
      <c r="O92" s="161"/>
      <c r="P92" s="160">
        <v>1590</v>
      </c>
      <c r="Q92" s="161"/>
      <c r="R92" s="160">
        <v>1850</v>
      </c>
      <c r="S92" s="161"/>
      <c r="T92" s="160">
        <v>2360</v>
      </c>
      <c r="U92" s="161"/>
      <c r="V92" s="80"/>
    </row>
    <row r="93" spans="1:22" ht="12.75">
      <c r="A93" s="157" t="s">
        <v>311</v>
      </c>
      <c r="B93" s="160">
        <v>21</v>
      </c>
      <c r="C93" s="161"/>
      <c r="D93" s="160"/>
      <c r="E93" s="161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0"/>
      <c r="S93" s="161"/>
      <c r="T93" s="160"/>
      <c r="U93" s="161"/>
      <c r="V93" s="80"/>
    </row>
    <row r="94" spans="1:22" ht="12.75">
      <c r="A94" s="162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80"/>
    </row>
    <row r="95" spans="1:22" ht="12.75">
      <c r="A95" s="168" t="s">
        <v>50</v>
      </c>
      <c r="B95" s="169">
        <f>B92+B93</f>
        <v>1857</v>
      </c>
      <c r="C95" s="167">
        <f>B95*100/B102</f>
        <v>10.436102056873104</v>
      </c>
      <c r="D95" s="169">
        <f>D92+D93</f>
        <v>1559</v>
      </c>
      <c r="E95" s="167">
        <f>D95*100/D102</f>
        <v>9.8839789513726</v>
      </c>
      <c r="F95" s="169">
        <f>F92+F93</f>
        <v>1469</v>
      </c>
      <c r="G95" s="167">
        <f>F95*100/F102</f>
        <v>8.96551724137931</v>
      </c>
      <c r="H95" s="169">
        <f>H92+H93</f>
        <v>1148</v>
      </c>
      <c r="I95" s="167">
        <f>H95*100/H102</f>
        <v>6.74738450687669</v>
      </c>
      <c r="J95" s="169">
        <f>J92+J93</f>
        <v>1884</v>
      </c>
      <c r="K95" s="167">
        <f>J95*100/J102</f>
        <v>9.759635308744302</v>
      </c>
      <c r="L95" s="169">
        <f>L92+L93</f>
        <v>1645</v>
      </c>
      <c r="M95" s="167">
        <f>L95*100/L102</f>
        <v>8.560574521232306</v>
      </c>
      <c r="N95" s="169">
        <f>N92+N93</f>
        <v>1590</v>
      </c>
      <c r="O95" s="167">
        <f>N95*100/N102</f>
        <v>7.363838458688403</v>
      </c>
      <c r="P95" s="169">
        <f>P92+P93</f>
        <v>1590</v>
      </c>
      <c r="Q95" s="167">
        <f>P95*100/P102</f>
        <v>5.2680405539725665</v>
      </c>
      <c r="R95" s="169">
        <f>R92+R93</f>
        <v>1850</v>
      </c>
      <c r="S95" s="167">
        <f>R95*100/R102</f>
        <v>6.231264104550507</v>
      </c>
      <c r="T95" s="169">
        <f>T92+T93</f>
        <v>2360</v>
      </c>
      <c r="U95" s="167">
        <f>T95*100/T102</f>
        <v>8.806627360250765</v>
      </c>
      <c r="V95" s="80"/>
    </row>
    <row r="96" spans="1:22" ht="12.75">
      <c r="A96" s="157" t="s">
        <v>51</v>
      </c>
      <c r="B96" s="160">
        <v>144</v>
      </c>
      <c r="C96" s="161"/>
      <c r="D96" s="160">
        <v>185</v>
      </c>
      <c r="E96" s="161"/>
      <c r="F96" s="160">
        <v>309</v>
      </c>
      <c r="G96" s="161"/>
      <c r="H96" s="160">
        <v>213</v>
      </c>
      <c r="I96" s="161"/>
      <c r="J96" s="160">
        <v>177</v>
      </c>
      <c r="K96" s="161"/>
      <c r="L96" s="160">
        <v>160</v>
      </c>
      <c r="M96" s="161"/>
      <c r="N96" s="160">
        <v>224</v>
      </c>
      <c r="O96" s="161"/>
      <c r="P96" s="160">
        <v>184</v>
      </c>
      <c r="Q96" s="161"/>
      <c r="R96" s="160">
        <v>172</v>
      </c>
      <c r="S96" s="161"/>
      <c r="T96" s="160">
        <v>448</v>
      </c>
      <c r="U96" s="161"/>
      <c r="V96" s="80"/>
    </row>
    <row r="97" spans="1:22" ht="12.75">
      <c r="A97" s="157" t="s">
        <v>52</v>
      </c>
      <c r="B97" s="160">
        <f>102+142</f>
        <v>244</v>
      </c>
      <c r="C97" s="161"/>
      <c r="D97" s="160">
        <f>99+139+1</f>
        <v>239</v>
      </c>
      <c r="E97" s="161"/>
      <c r="F97" s="160">
        <f>101+158</f>
        <v>259</v>
      </c>
      <c r="G97" s="161"/>
      <c r="H97" s="160">
        <f>89+156</f>
        <v>245</v>
      </c>
      <c r="I97" s="161"/>
      <c r="J97" s="160">
        <f>100+176-1</f>
        <v>275</v>
      </c>
      <c r="K97" s="161"/>
      <c r="L97" s="160">
        <f>104+176-2</f>
        <v>278</v>
      </c>
      <c r="M97" s="161"/>
      <c r="N97" s="160">
        <f>167+154</f>
        <v>321</v>
      </c>
      <c r="O97" s="161"/>
      <c r="P97" s="160">
        <f>196+198+1</f>
        <v>395</v>
      </c>
      <c r="Q97" s="161"/>
      <c r="R97" s="160">
        <f>102+176+2</f>
        <v>280</v>
      </c>
      <c r="S97" s="161"/>
      <c r="T97" s="160">
        <f>679+2030+1</f>
        <v>2710</v>
      </c>
      <c r="U97" s="161"/>
      <c r="V97" s="80"/>
    </row>
    <row r="98" spans="1:22" ht="12.75">
      <c r="A98" s="157" t="s">
        <v>53</v>
      </c>
      <c r="B98" s="160"/>
      <c r="C98" s="161"/>
      <c r="D98" s="160"/>
      <c r="E98" s="161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0"/>
      <c r="S98" s="161"/>
      <c r="T98" s="160"/>
      <c r="U98" s="161"/>
      <c r="V98" s="80"/>
    </row>
    <row r="99" spans="1:22" ht="12.75">
      <c r="A99" s="162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80"/>
    </row>
    <row r="100" spans="1:22" ht="12.75">
      <c r="A100" s="168" t="s">
        <v>54</v>
      </c>
      <c r="B100" s="170">
        <f>B91+B95+B96+B97+B98</f>
        <v>6399</v>
      </c>
      <c r="C100" s="167">
        <f>B100*100/B102</f>
        <v>35.96156007643026</v>
      </c>
      <c r="D100" s="170">
        <f>D91+D95+D96+D97+D98</f>
        <v>5443</v>
      </c>
      <c r="E100" s="167">
        <f>D100*100/D102</f>
        <v>34.50833703163634</v>
      </c>
      <c r="F100" s="170">
        <f>F91+F95+F96+F97+F98</f>
        <v>5329</v>
      </c>
      <c r="G100" s="167">
        <f>F100*100/F102</f>
        <v>32.523649679584985</v>
      </c>
      <c r="H100" s="170">
        <f>H91+H95+H96+H97+H98</f>
        <v>6597</v>
      </c>
      <c r="I100" s="167">
        <f>H100*100/H102</f>
        <v>38.77395086399436</v>
      </c>
      <c r="J100" s="170">
        <f>J91+J95+J96+J97+J98</f>
        <v>7031</v>
      </c>
      <c r="K100" s="167">
        <f>J100*100/J102</f>
        <v>36.42250310816411</v>
      </c>
      <c r="L100" s="170">
        <f>L91+L95+L96+L97+L98</f>
        <v>8365</v>
      </c>
      <c r="M100" s="167">
        <f>L100*100/L102</f>
        <v>43.53143213988343</v>
      </c>
      <c r="N100" s="170">
        <f>N91+N95+N96+N97+N98</f>
        <v>9820</v>
      </c>
      <c r="O100" s="167">
        <f>N100*100/N102</f>
        <v>45.47980733605039</v>
      </c>
      <c r="P100" s="170">
        <f>P91+P95+P96+P97+P98</f>
        <v>10558</v>
      </c>
      <c r="Q100" s="167">
        <f>P100*100/P102</f>
        <v>34.981114571598965</v>
      </c>
      <c r="R100" s="170">
        <f>R91+R95+R96+R97+R98</f>
        <v>8742</v>
      </c>
      <c r="S100" s="167">
        <f>R100*100/R102</f>
        <v>29.445249082151637</v>
      </c>
      <c r="T100" s="170">
        <f>T91+T95+T96+T97+T98</f>
        <v>12654</v>
      </c>
      <c r="U100" s="167">
        <f>T100*100/T102</f>
        <v>47.2199417867005</v>
      </c>
      <c r="V100" s="80"/>
    </row>
    <row r="101" spans="1:22" ht="13.5" thickBot="1">
      <c r="A101" s="162"/>
      <c r="B101" s="100"/>
      <c r="C101" s="95"/>
      <c r="D101" s="100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80"/>
    </row>
    <row r="102" spans="1:22" ht="13.5" thickBot="1">
      <c r="A102" s="171" t="s">
        <v>55</v>
      </c>
      <c r="B102" s="170">
        <f>B86+B100</f>
        <v>17794</v>
      </c>
      <c r="C102" s="167">
        <v>100</v>
      </c>
      <c r="D102" s="170">
        <f>D86+D100</f>
        <v>15773</v>
      </c>
      <c r="E102" s="167">
        <v>100</v>
      </c>
      <c r="F102" s="170">
        <f>F86+F100</f>
        <v>16385</v>
      </c>
      <c r="G102" s="167">
        <v>100</v>
      </c>
      <c r="H102" s="170">
        <f>H86+H100</f>
        <v>17014</v>
      </c>
      <c r="I102" s="167">
        <v>100</v>
      </c>
      <c r="J102" s="170">
        <f>J86+J100</f>
        <v>19304</v>
      </c>
      <c r="K102" s="167">
        <v>100</v>
      </c>
      <c r="L102" s="170">
        <f>L86+L100</f>
        <v>19216</v>
      </c>
      <c r="M102" s="167">
        <v>100</v>
      </c>
      <c r="N102" s="170">
        <f>N86+N100</f>
        <v>21592</v>
      </c>
      <c r="O102" s="167">
        <v>100</v>
      </c>
      <c r="P102" s="170">
        <f>P86+P100</f>
        <v>30182</v>
      </c>
      <c r="Q102" s="167">
        <v>100</v>
      </c>
      <c r="R102" s="170">
        <f>R86+R100</f>
        <v>29689</v>
      </c>
      <c r="S102" s="167">
        <v>100</v>
      </c>
      <c r="T102" s="170">
        <f>T86+T100</f>
        <v>26798</v>
      </c>
      <c r="U102" s="167">
        <v>100</v>
      </c>
      <c r="V102" s="80"/>
    </row>
    <row r="103" spans="1:22" ht="12.75">
      <c r="A103" s="157"/>
      <c r="B103" s="181">
        <f>+B41-B102</f>
        <v>0</v>
      </c>
      <c r="C103" s="95"/>
      <c r="D103" s="181">
        <f>+D41-D102</f>
        <v>0</v>
      </c>
      <c r="E103" s="95"/>
      <c r="F103" s="181">
        <f>+F41-F102</f>
        <v>0</v>
      </c>
      <c r="G103" s="95"/>
      <c r="H103" s="181">
        <f>+H41-H102</f>
        <v>0</v>
      </c>
      <c r="I103" s="95"/>
      <c r="J103" s="181">
        <f>+J41-J102</f>
        <v>0</v>
      </c>
      <c r="K103" s="95"/>
      <c r="L103" s="181">
        <f>+L41-L102</f>
        <v>0</v>
      </c>
      <c r="M103" s="95"/>
      <c r="N103" s="181">
        <f>+N41-N102</f>
        <v>0</v>
      </c>
      <c r="O103" s="95"/>
      <c r="P103" s="181">
        <f>+P41-P102</f>
        <v>0</v>
      </c>
      <c r="Q103" s="95"/>
      <c r="R103" s="181">
        <f>+R41-R102</f>
        <v>0</v>
      </c>
      <c r="S103" s="95"/>
      <c r="T103" s="181">
        <f>+T41-T102</f>
        <v>0</v>
      </c>
      <c r="U103" s="95"/>
      <c r="V103" s="80"/>
    </row>
    <row r="104" spans="1:22" ht="12.75" hidden="1">
      <c r="A104" s="174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2.75" hidden="1">
      <c r="A105" s="174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56" s="219" customFormat="1" ht="12.75">
      <c r="A106" s="220" t="s">
        <v>24</v>
      </c>
      <c r="B106" s="220"/>
      <c r="C106" s="220"/>
      <c r="D106" s="220"/>
      <c r="E106" s="220"/>
      <c r="F106" s="220" t="s">
        <v>73</v>
      </c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  <c r="GA106" s="80"/>
      <c r="GB106" s="80"/>
      <c r="GC106" s="80"/>
      <c r="GD106" s="80"/>
      <c r="GE106" s="80"/>
      <c r="GF106" s="80"/>
      <c r="GG106" s="80"/>
      <c r="GH106" s="80"/>
      <c r="GI106" s="80"/>
      <c r="GJ106" s="80"/>
      <c r="GK106" s="80"/>
      <c r="GL106" s="80"/>
      <c r="GM106" s="80"/>
      <c r="GN106" s="80"/>
      <c r="GO106" s="80"/>
      <c r="GP106" s="80"/>
      <c r="GQ106" s="80"/>
      <c r="GR106" s="80"/>
      <c r="GS106" s="80"/>
      <c r="GT106" s="80"/>
      <c r="GU106" s="80"/>
      <c r="GV106" s="80"/>
      <c r="GW106" s="80"/>
      <c r="GX106" s="80"/>
      <c r="GY106" s="80"/>
      <c r="GZ106" s="80"/>
      <c r="HA106" s="80"/>
      <c r="HB106" s="80"/>
      <c r="HC106" s="80"/>
      <c r="HD106" s="80"/>
      <c r="HE106" s="80"/>
      <c r="HF106" s="80"/>
      <c r="HG106" s="80"/>
      <c r="HH106" s="80"/>
      <c r="HI106" s="80"/>
      <c r="HJ106" s="80"/>
      <c r="HK106" s="80"/>
      <c r="HL106" s="80"/>
      <c r="HM106" s="80"/>
      <c r="HN106" s="80"/>
      <c r="HO106" s="80"/>
      <c r="HP106" s="80"/>
      <c r="HQ106" s="80"/>
      <c r="HR106" s="80"/>
      <c r="HS106" s="80"/>
      <c r="HT106" s="80"/>
      <c r="HU106" s="80"/>
      <c r="HV106" s="80"/>
      <c r="HW106" s="80"/>
      <c r="HX106" s="80"/>
      <c r="HY106" s="80"/>
      <c r="HZ106" s="80"/>
      <c r="IA106" s="80"/>
      <c r="IB106" s="80"/>
      <c r="IC106" s="80"/>
      <c r="ID106" s="80"/>
      <c r="IE106" s="80"/>
      <c r="IF106" s="80"/>
      <c r="IG106" s="80"/>
      <c r="IH106" s="80"/>
      <c r="II106" s="80"/>
      <c r="IJ106" s="80"/>
      <c r="IK106" s="80"/>
      <c r="IL106" s="80"/>
      <c r="IM106" s="80"/>
      <c r="IN106" s="80"/>
      <c r="IO106" s="80"/>
      <c r="IP106" s="80"/>
      <c r="IQ106" s="80"/>
      <c r="IR106" s="80"/>
      <c r="IS106" s="80"/>
      <c r="IT106" s="80"/>
      <c r="IU106" s="80"/>
      <c r="IV106" s="80"/>
    </row>
    <row r="107" spans="1:256" s="219" customFormat="1" ht="12.75">
      <c r="A107" s="220" t="s">
        <v>331</v>
      </c>
      <c r="B107" s="220"/>
      <c r="C107" s="220"/>
      <c r="D107" s="220"/>
      <c r="E107" s="220" t="s">
        <v>73</v>
      </c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80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80"/>
      <c r="GQ107" s="80"/>
      <c r="GR107" s="80"/>
      <c r="GS107" s="80"/>
      <c r="GT107" s="80"/>
      <c r="GU107" s="80"/>
      <c r="GV107" s="80"/>
      <c r="GW107" s="80"/>
      <c r="GX107" s="80"/>
      <c r="GY107" s="80"/>
      <c r="GZ107" s="80"/>
      <c r="HA107" s="80"/>
      <c r="HB107" s="80"/>
      <c r="HC107" s="80"/>
      <c r="HD107" s="80"/>
      <c r="HE107" s="80"/>
      <c r="HF107" s="80"/>
      <c r="HG107" s="80"/>
      <c r="HH107" s="80"/>
      <c r="HI107" s="80"/>
      <c r="HJ107" s="80"/>
      <c r="HK107" s="80"/>
      <c r="HL107" s="80"/>
      <c r="HM107" s="80"/>
      <c r="HN107" s="80"/>
      <c r="HO107" s="80"/>
      <c r="HP107" s="80"/>
      <c r="HQ107" s="80"/>
      <c r="HR107" s="80"/>
      <c r="HS107" s="80"/>
      <c r="HT107" s="80"/>
      <c r="HU107" s="80"/>
      <c r="HV107" s="80"/>
      <c r="HW107" s="80"/>
      <c r="HX107" s="80"/>
      <c r="HY107" s="80"/>
      <c r="HZ107" s="80"/>
      <c r="IA107" s="80"/>
      <c r="IB107" s="80"/>
      <c r="IC107" s="80"/>
      <c r="ID107" s="80"/>
      <c r="IE107" s="80"/>
      <c r="IF107" s="80"/>
      <c r="IG107" s="80"/>
      <c r="IH107" s="80"/>
      <c r="II107" s="80"/>
      <c r="IJ107" s="80"/>
      <c r="IK107" s="80"/>
      <c r="IL107" s="80"/>
      <c r="IM107" s="80"/>
      <c r="IN107" s="80"/>
      <c r="IO107" s="80"/>
      <c r="IP107" s="80"/>
      <c r="IQ107" s="80"/>
      <c r="IR107" s="80"/>
      <c r="IS107" s="80"/>
      <c r="IT107" s="80"/>
      <c r="IU107" s="80"/>
      <c r="IV107" s="80"/>
    </row>
    <row r="108" spans="1:22" ht="12.75">
      <c r="A108" s="232" t="s">
        <v>324</v>
      </c>
      <c r="B108" s="175">
        <f>+B3</f>
        <v>37256</v>
      </c>
      <c r="C108" s="176"/>
      <c r="D108" s="175">
        <f>+D3</f>
        <v>37621</v>
      </c>
      <c r="E108" s="176"/>
      <c r="F108" s="175">
        <f>+F3</f>
        <v>37986</v>
      </c>
      <c r="G108" s="176"/>
      <c r="H108" s="175">
        <f>+H3</f>
        <v>38352</v>
      </c>
      <c r="I108" s="176"/>
      <c r="J108" s="175">
        <f>+J3</f>
        <v>38717</v>
      </c>
      <c r="K108" s="176"/>
      <c r="L108" s="175">
        <f>+L3</f>
        <v>39082</v>
      </c>
      <c r="M108" s="176"/>
      <c r="N108" s="175">
        <f>+N3</f>
        <v>39447</v>
      </c>
      <c r="O108" s="176"/>
      <c r="P108" s="175">
        <f>+P3</f>
        <v>39813</v>
      </c>
      <c r="Q108" s="176"/>
      <c r="R108" s="175">
        <f>+R3</f>
        <v>40178</v>
      </c>
      <c r="S108" s="176"/>
      <c r="T108" s="175">
        <f>+T3</f>
        <v>40543</v>
      </c>
      <c r="U108" s="176"/>
      <c r="V108" s="80"/>
    </row>
    <row r="109" spans="1:22" ht="12.75">
      <c r="A109" s="177" t="s">
        <v>296</v>
      </c>
      <c r="B109" s="142" t="s">
        <v>4</v>
      </c>
      <c r="C109" s="142" t="s">
        <v>5</v>
      </c>
      <c r="D109" s="142" t="s">
        <v>4</v>
      </c>
      <c r="E109" s="142" t="s">
        <v>5</v>
      </c>
      <c r="F109" s="142" t="s">
        <v>4</v>
      </c>
      <c r="G109" s="142" t="s">
        <v>5</v>
      </c>
      <c r="H109" s="142" t="s">
        <v>4</v>
      </c>
      <c r="I109" s="142" t="s">
        <v>5</v>
      </c>
      <c r="J109" s="142" t="s">
        <v>4</v>
      </c>
      <c r="K109" s="142" t="s">
        <v>5</v>
      </c>
      <c r="L109" s="142" t="s">
        <v>4</v>
      </c>
      <c r="M109" s="142" t="s">
        <v>5</v>
      </c>
      <c r="N109" s="142" t="s">
        <v>4</v>
      </c>
      <c r="O109" s="142" t="s">
        <v>5</v>
      </c>
      <c r="P109" s="142" t="s">
        <v>4</v>
      </c>
      <c r="Q109" s="142" t="s">
        <v>5</v>
      </c>
      <c r="R109" s="142" t="s">
        <v>4</v>
      </c>
      <c r="S109" s="142" t="s">
        <v>5</v>
      </c>
      <c r="T109" s="142" t="s">
        <v>4</v>
      </c>
      <c r="U109" s="142" t="s">
        <v>5</v>
      </c>
      <c r="V109" s="80"/>
    </row>
    <row r="110" spans="1:22" ht="12.75">
      <c r="A110" s="157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80"/>
    </row>
    <row r="111" spans="1:22" ht="12.75">
      <c r="A111" s="157" t="s">
        <v>312</v>
      </c>
      <c r="B111" s="182">
        <v>7392</v>
      </c>
      <c r="C111" s="183">
        <v>100</v>
      </c>
      <c r="D111" s="182">
        <v>7405</v>
      </c>
      <c r="E111" s="183">
        <v>100</v>
      </c>
      <c r="F111" s="182">
        <v>7535</v>
      </c>
      <c r="G111" s="183">
        <v>100</v>
      </c>
      <c r="H111" s="182">
        <v>8140</v>
      </c>
      <c r="I111" s="183">
        <v>100</v>
      </c>
      <c r="J111" s="182">
        <v>8395</v>
      </c>
      <c r="K111" s="183">
        <v>100</v>
      </c>
      <c r="L111" s="182">
        <v>9614</v>
      </c>
      <c r="M111" s="183">
        <v>100</v>
      </c>
      <c r="N111" s="182">
        <v>10841</v>
      </c>
      <c r="O111" s="183">
        <v>100</v>
      </c>
      <c r="P111" s="182">
        <v>10057</v>
      </c>
      <c r="Q111" s="183">
        <v>100</v>
      </c>
      <c r="R111" s="182">
        <v>6241</v>
      </c>
      <c r="S111" s="183">
        <v>100</v>
      </c>
      <c r="T111" s="182">
        <v>5531</v>
      </c>
      <c r="U111" s="183">
        <v>100</v>
      </c>
      <c r="V111" s="80"/>
    </row>
    <row r="112" spans="1:22" ht="12.75">
      <c r="A112" s="162" t="s">
        <v>56</v>
      </c>
      <c r="B112" s="160">
        <v>296</v>
      </c>
      <c r="C112" s="161"/>
      <c r="D112" s="184">
        <v>403</v>
      </c>
      <c r="E112" s="161"/>
      <c r="F112" s="184">
        <v>490</v>
      </c>
      <c r="G112" s="161"/>
      <c r="H112" s="184">
        <v>478</v>
      </c>
      <c r="I112" s="161"/>
      <c r="J112" s="184">
        <v>118</v>
      </c>
      <c r="K112" s="161"/>
      <c r="L112" s="184">
        <v>1161</v>
      </c>
      <c r="M112" s="161"/>
      <c r="N112" s="184">
        <v>409</v>
      </c>
      <c r="O112" s="161"/>
      <c r="P112" s="184">
        <v>-55</v>
      </c>
      <c r="Q112" s="161"/>
      <c r="R112" s="184">
        <v>339</v>
      </c>
      <c r="S112" s="161"/>
      <c r="T112" s="184">
        <f>43-2757</f>
        <v>-2714</v>
      </c>
      <c r="U112" s="161"/>
      <c r="V112" s="80"/>
    </row>
    <row r="113" spans="1:22" ht="12.75">
      <c r="A113" s="162" t="s">
        <v>57</v>
      </c>
      <c r="B113" s="160">
        <v>1240</v>
      </c>
      <c r="C113" s="161"/>
      <c r="D113" s="160">
        <v>1549</v>
      </c>
      <c r="E113" s="161"/>
      <c r="F113" s="160">
        <v>1718</v>
      </c>
      <c r="G113" s="161"/>
      <c r="H113" s="160">
        <v>1630</v>
      </c>
      <c r="I113" s="161"/>
      <c r="J113" s="160">
        <v>1642</v>
      </c>
      <c r="K113" s="161"/>
      <c r="L113" s="160">
        <v>1044</v>
      </c>
      <c r="M113" s="161"/>
      <c r="N113" s="160">
        <v>1395</v>
      </c>
      <c r="O113" s="161"/>
      <c r="P113" s="160">
        <v>1435</v>
      </c>
      <c r="Q113" s="161"/>
      <c r="R113" s="160">
        <v>1418</v>
      </c>
      <c r="S113" s="161"/>
      <c r="T113" s="160">
        <v>313</v>
      </c>
      <c r="U113" s="161"/>
      <c r="V113" s="80"/>
    </row>
    <row r="114" spans="1:22" ht="12.75">
      <c r="A114" s="162" t="s">
        <v>58</v>
      </c>
      <c r="B114" s="160"/>
      <c r="C114" s="161"/>
      <c r="D114" s="160"/>
      <c r="E114" s="161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0"/>
      <c r="S114" s="161"/>
      <c r="T114" s="160"/>
      <c r="U114" s="161"/>
      <c r="V114" s="80"/>
    </row>
    <row r="115" spans="1:22" ht="12.75">
      <c r="A115" s="162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80"/>
    </row>
    <row r="116" spans="1:22" ht="12.75">
      <c r="A116" s="168" t="s">
        <v>59</v>
      </c>
      <c r="B116" s="170">
        <f>B111+B112+B113+B114</f>
        <v>8928</v>
      </c>
      <c r="C116" s="167">
        <f>B116*100/B111</f>
        <v>120.77922077922078</v>
      </c>
      <c r="D116" s="170">
        <f>D111+D112+D113+D114</f>
        <v>9357</v>
      </c>
      <c r="E116" s="167">
        <f>D116*100/D111</f>
        <v>126.36056718433491</v>
      </c>
      <c r="F116" s="170">
        <f>F111+F112+F113+F114</f>
        <v>9743</v>
      </c>
      <c r="G116" s="167">
        <f>F116*100/F111</f>
        <v>129.30325149303252</v>
      </c>
      <c r="H116" s="170">
        <f>H111+H112+H113+H114</f>
        <v>10248</v>
      </c>
      <c r="I116" s="167">
        <f>H116*100/H111</f>
        <v>125.8968058968059</v>
      </c>
      <c r="J116" s="170">
        <f>J111+J112+J113+J114</f>
        <v>10155</v>
      </c>
      <c r="K116" s="167">
        <f>J116*100/J111</f>
        <v>120.96486003573555</v>
      </c>
      <c r="L116" s="170">
        <f>L111+L112+L113+L114</f>
        <v>11819</v>
      </c>
      <c r="M116" s="167">
        <f>L116*100/L111</f>
        <v>122.93530268358644</v>
      </c>
      <c r="N116" s="170">
        <f>N111+N112+N113+N114</f>
        <v>12645</v>
      </c>
      <c r="O116" s="167">
        <f>N116*100/N111</f>
        <v>116.64053131629923</v>
      </c>
      <c r="P116" s="170">
        <f>P111+P112+P113+P114</f>
        <v>11437</v>
      </c>
      <c r="Q116" s="167">
        <f>P116*100/P111</f>
        <v>113.72178582082132</v>
      </c>
      <c r="R116" s="170">
        <f>R111+R112+R113+R114</f>
        <v>7998</v>
      </c>
      <c r="S116" s="167">
        <f>R116*100/R111</f>
        <v>128.15253965710625</v>
      </c>
      <c r="T116" s="170">
        <f>T111+T112+T113+T114</f>
        <v>3130</v>
      </c>
      <c r="U116" s="167">
        <f>T116*100/T111</f>
        <v>56.590128367383834</v>
      </c>
      <c r="V116" s="80"/>
    </row>
    <row r="117" spans="1:22" ht="12.75">
      <c r="A117" s="162" t="s">
        <v>60</v>
      </c>
      <c r="B117" s="160">
        <v>-1945</v>
      </c>
      <c r="C117" s="161"/>
      <c r="D117" s="160">
        <v>-1888</v>
      </c>
      <c r="E117" s="161"/>
      <c r="F117" s="160">
        <v>-1863</v>
      </c>
      <c r="G117" s="161"/>
      <c r="H117" s="160">
        <v>-2150</v>
      </c>
      <c r="I117" s="161"/>
      <c r="J117" s="160">
        <v>-2243</v>
      </c>
      <c r="K117" s="161"/>
      <c r="L117" s="160">
        <v>-3378</v>
      </c>
      <c r="M117" s="161"/>
      <c r="N117" s="160">
        <v>-3267</v>
      </c>
      <c r="O117" s="161"/>
      <c r="P117" s="160">
        <v>-2672</v>
      </c>
      <c r="Q117" s="161"/>
      <c r="R117" s="160">
        <v>-1267</v>
      </c>
      <c r="S117" s="161"/>
      <c r="T117" s="160">
        <v>-1025</v>
      </c>
      <c r="U117" s="161"/>
      <c r="V117" s="80"/>
    </row>
    <row r="118" spans="1:22" ht="12.75">
      <c r="A118" s="162" t="s">
        <v>61</v>
      </c>
      <c r="B118" s="160">
        <v>87</v>
      </c>
      <c r="C118" s="161"/>
      <c r="D118" s="160">
        <v>-52</v>
      </c>
      <c r="E118" s="161"/>
      <c r="F118" s="160">
        <v>-96</v>
      </c>
      <c r="G118" s="161"/>
      <c r="H118" s="160">
        <v>-62</v>
      </c>
      <c r="I118" s="161"/>
      <c r="J118" s="160">
        <v>112</v>
      </c>
      <c r="K118" s="161"/>
      <c r="L118" s="160">
        <v>13</v>
      </c>
      <c r="M118" s="161"/>
      <c r="N118" s="160">
        <v>-16</v>
      </c>
      <c r="O118" s="161"/>
      <c r="P118" s="160">
        <v>-54</v>
      </c>
      <c r="Q118" s="161"/>
      <c r="R118" s="160">
        <v>-102</v>
      </c>
      <c r="S118" s="161"/>
      <c r="T118" s="160">
        <v>185</v>
      </c>
      <c r="U118" s="161"/>
      <c r="V118" s="80"/>
    </row>
    <row r="119" spans="1:22" ht="12.75">
      <c r="A119" s="162" t="s">
        <v>62</v>
      </c>
      <c r="B119" s="160">
        <f>-3058-57</f>
        <v>-3115</v>
      </c>
      <c r="C119" s="161"/>
      <c r="D119" s="160">
        <f>-2806-40</f>
        <v>-2846</v>
      </c>
      <c r="E119" s="161"/>
      <c r="F119" s="160">
        <f>-3055-53</f>
        <v>-3108</v>
      </c>
      <c r="G119" s="161"/>
      <c r="H119" s="160">
        <f>-3217-53</f>
        <v>-3270</v>
      </c>
      <c r="I119" s="161"/>
      <c r="J119" s="160">
        <f>-3612-84</f>
        <v>-3696</v>
      </c>
      <c r="K119" s="161"/>
      <c r="L119" s="160">
        <v>-4344</v>
      </c>
      <c r="M119" s="161"/>
      <c r="N119" s="160">
        <f>-4283-78</f>
        <v>-4361</v>
      </c>
      <c r="O119" s="161"/>
      <c r="P119" s="160">
        <f>-4175-56</f>
        <v>-4231</v>
      </c>
      <c r="Q119" s="161"/>
      <c r="R119" s="160">
        <f>-2517-57</f>
        <v>-2574</v>
      </c>
      <c r="S119" s="161"/>
      <c r="T119" s="160">
        <f>-2428-21</f>
        <v>-2449</v>
      </c>
      <c r="U119" s="161"/>
      <c r="V119" s="80"/>
    </row>
    <row r="120" spans="1:22" ht="12.75">
      <c r="A120" s="162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80"/>
    </row>
    <row r="121" spans="1:22" ht="12.75">
      <c r="A121" s="168" t="s">
        <v>63</v>
      </c>
      <c r="B121" s="170">
        <f>B116+B117+B118+B119</f>
        <v>3955</v>
      </c>
      <c r="C121" s="167">
        <f>B121*100/B111</f>
        <v>53.503787878787875</v>
      </c>
      <c r="D121" s="170">
        <f>D116+D117+D118+D119</f>
        <v>4571</v>
      </c>
      <c r="E121" s="167">
        <f>D121*100/D111</f>
        <v>61.72856178257934</v>
      </c>
      <c r="F121" s="170">
        <f>F116+F117+F118+F119</f>
        <v>4676</v>
      </c>
      <c r="G121" s="167">
        <f>F121*100/F111</f>
        <v>62.05706702057067</v>
      </c>
      <c r="H121" s="170">
        <f>H116+H117+H118+H119</f>
        <v>4766</v>
      </c>
      <c r="I121" s="167">
        <f>H121*100/H111</f>
        <v>58.55036855036855</v>
      </c>
      <c r="J121" s="170">
        <f>J116+J117+J118+J119</f>
        <v>4328</v>
      </c>
      <c r="K121" s="167">
        <f>J121*100/J111</f>
        <v>51.55449672424062</v>
      </c>
      <c r="L121" s="170">
        <f>L116+L117+L118+L119</f>
        <v>4110</v>
      </c>
      <c r="M121" s="167">
        <f>L121*100/L111</f>
        <v>42.75015602246724</v>
      </c>
      <c r="N121" s="170">
        <f>N116+N117+N118+N119</f>
        <v>5001</v>
      </c>
      <c r="O121" s="167">
        <f>N121*100/N111</f>
        <v>46.130430772069</v>
      </c>
      <c r="P121" s="170">
        <f>P116+P117+P118+P119</f>
        <v>4480</v>
      </c>
      <c r="Q121" s="167">
        <f>P121*100/P111</f>
        <v>44.546087302376456</v>
      </c>
      <c r="R121" s="170">
        <f>R116+R117+R118+R119</f>
        <v>4055</v>
      </c>
      <c r="S121" s="167">
        <f>R121*100/R111</f>
        <v>64.97356192917802</v>
      </c>
      <c r="T121" s="170">
        <f>T116+T117+T118+T119</f>
        <v>-159</v>
      </c>
      <c r="U121" s="167">
        <f>T121*100/T111</f>
        <v>-2.874706201410233</v>
      </c>
      <c r="V121" s="80"/>
    </row>
    <row r="122" spans="1:22" ht="12.75">
      <c r="A122" s="162" t="s">
        <v>64</v>
      </c>
      <c r="B122" s="160">
        <v>-2671</v>
      </c>
      <c r="C122" s="161"/>
      <c r="D122" s="160">
        <v>-2510</v>
      </c>
      <c r="E122" s="161"/>
      <c r="F122" s="160">
        <v>-2430</v>
      </c>
      <c r="G122" s="161"/>
      <c r="H122" s="160">
        <v>-2489</v>
      </c>
      <c r="I122" s="161"/>
      <c r="J122" s="160">
        <v>-2477</v>
      </c>
      <c r="K122" s="161"/>
      <c r="L122" s="160">
        <v>-2504</v>
      </c>
      <c r="M122" s="161"/>
      <c r="N122" s="160">
        <v>-2838</v>
      </c>
      <c r="O122" s="161"/>
      <c r="P122" s="160">
        <v>-3037</v>
      </c>
      <c r="Q122" s="161"/>
      <c r="R122" s="160">
        <v>-2866</v>
      </c>
      <c r="S122" s="161"/>
      <c r="T122" s="160">
        <v>-2835</v>
      </c>
      <c r="U122" s="161"/>
      <c r="V122" s="80"/>
    </row>
    <row r="123" spans="1:22" ht="12.75">
      <c r="A123" s="162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80"/>
    </row>
    <row r="124" spans="1:22" ht="12.75">
      <c r="A124" s="168" t="s">
        <v>65</v>
      </c>
      <c r="B124" s="170">
        <f>B121+B122</f>
        <v>1284</v>
      </c>
      <c r="C124" s="167">
        <f>B124*100/B111</f>
        <v>17.37012987012987</v>
      </c>
      <c r="D124" s="170">
        <f>D121+D122</f>
        <v>2061</v>
      </c>
      <c r="E124" s="167">
        <f>D124*100/D111</f>
        <v>27.832545577312626</v>
      </c>
      <c r="F124" s="170">
        <f>F121+F122</f>
        <v>2246</v>
      </c>
      <c r="G124" s="167">
        <f>F124*100/F111</f>
        <v>29.807564698075648</v>
      </c>
      <c r="H124" s="170">
        <f>H121+H122</f>
        <v>2277</v>
      </c>
      <c r="I124" s="167">
        <f>H124*100/H111</f>
        <v>27.972972972972972</v>
      </c>
      <c r="J124" s="170">
        <f>J121+J122</f>
        <v>1851</v>
      </c>
      <c r="K124" s="167">
        <f>J124*100/J111</f>
        <v>22.04883859440143</v>
      </c>
      <c r="L124" s="170">
        <f>L121+L122</f>
        <v>1606</v>
      </c>
      <c r="M124" s="167">
        <f>L124*100/L111</f>
        <v>16.704805491990847</v>
      </c>
      <c r="N124" s="170">
        <f>N121+N122</f>
        <v>2163</v>
      </c>
      <c r="O124" s="167">
        <f>N124*100/N111</f>
        <v>19.952033945208008</v>
      </c>
      <c r="P124" s="170">
        <f>P121+P122</f>
        <v>1443</v>
      </c>
      <c r="Q124" s="167">
        <f>P124*100/P111</f>
        <v>14.348215173510987</v>
      </c>
      <c r="R124" s="170">
        <f>R121+R122</f>
        <v>1189</v>
      </c>
      <c r="S124" s="167">
        <f>R124*100/R111</f>
        <v>19.051434065053677</v>
      </c>
      <c r="T124" s="170">
        <f>T121+T122</f>
        <v>-2994</v>
      </c>
      <c r="U124" s="167">
        <f>T124*100/T111</f>
        <v>-54.13126016995118</v>
      </c>
      <c r="V124" s="80"/>
    </row>
    <row r="125" spans="1:22" ht="12.75">
      <c r="A125" s="162" t="s">
        <v>66</v>
      </c>
      <c r="B125" s="160">
        <v>-1686</v>
      </c>
      <c r="C125" s="161"/>
      <c r="D125" s="160">
        <v>-1366</v>
      </c>
      <c r="E125" s="161"/>
      <c r="F125" s="160">
        <v>-1287</v>
      </c>
      <c r="G125" s="161"/>
      <c r="H125" s="160">
        <f>-1319-1</f>
        <v>-1320</v>
      </c>
      <c r="I125" s="161"/>
      <c r="J125" s="160">
        <v>-1511</v>
      </c>
      <c r="K125" s="161"/>
      <c r="L125" s="160">
        <v>-1651</v>
      </c>
      <c r="M125" s="161"/>
      <c r="N125" s="160">
        <v>-1011</v>
      </c>
      <c r="O125" s="161"/>
      <c r="P125" s="160">
        <v>-962</v>
      </c>
      <c r="Q125" s="161"/>
      <c r="R125" s="160">
        <v>-1106</v>
      </c>
      <c r="S125" s="161"/>
      <c r="T125" s="160">
        <v>-1110</v>
      </c>
      <c r="U125" s="161"/>
      <c r="V125" s="80"/>
    </row>
    <row r="126" spans="1:22" ht="12.75">
      <c r="A126" s="162" t="s">
        <v>67</v>
      </c>
      <c r="B126" s="160"/>
      <c r="C126" s="161"/>
      <c r="D126" s="160"/>
      <c r="E126" s="161"/>
      <c r="F126" s="160"/>
      <c r="G126" s="161"/>
      <c r="H126" s="160"/>
      <c r="I126" s="161"/>
      <c r="J126" s="160"/>
      <c r="K126" s="161"/>
      <c r="L126" s="160"/>
      <c r="M126" s="161"/>
      <c r="N126" s="160"/>
      <c r="O126" s="161"/>
      <c r="P126" s="160"/>
      <c r="Q126" s="161"/>
      <c r="R126" s="160"/>
      <c r="S126" s="161"/>
      <c r="T126" s="160"/>
      <c r="U126" s="161"/>
      <c r="V126" s="80"/>
    </row>
    <row r="127" spans="1:22" ht="12.75">
      <c r="A127" s="162" t="s">
        <v>68</v>
      </c>
      <c r="B127" s="160"/>
      <c r="C127" s="161"/>
      <c r="D127" s="160"/>
      <c r="E127" s="161"/>
      <c r="F127" s="160"/>
      <c r="G127" s="161"/>
      <c r="H127" s="160"/>
      <c r="I127" s="161"/>
      <c r="J127" s="160"/>
      <c r="K127" s="161"/>
      <c r="L127" s="160"/>
      <c r="M127" s="161"/>
      <c r="N127" s="160"/>
      <c r="O127" s="161"/>
      <c r="P127" s="160"/>
      <c r="Q127" s="161"/>
      <c r="R127" s="160"/>
      <c r="S127" s="161"/>
      <c r="T127" s="160">
        <v>-4493</v>
      </c>
      <c r="U127" s="161"/>
      <c r="V127" s="80"/>
    </row>
    <row r="128" spans="1:22" ht="12.75">
      <c r="A128" s="162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80"/>
    </row>
    <row r="129" spans="1:22" ht="12.75">
      <c r="A129" s="168" t="s">
        <v>69</v>
      </c>
      <c r="B129" s="169">
        <f>B124+B125+B126+B127</f>
        <v>-402</v>
      </c>
      <c r="C129" s="167">
        <f>B129*100/B111</f>
        <v>-5.438311688311688</v>
      </c>
      <c r="D129" s="169">
        <f>D124+D125+D126+D127</f>
        <v>695</v>
      </c>
      <c r="E129" s="167">
        <f>D129*100/D111</f>
        <v>9.38555030384875</v>
      </c>
      <c r="F129" s="169">
        <f>F124+F125+F126+F127</f>
        <v>959</v>
      </c>
      <c r="G129" s="167">
        <f>F129*100/F111</f>
        <v>12.727272727272727</v>
      </c>
      <c r="H129" s="169">
        <f>H124+H125+H126+H127</f>
        <v>957</v>
      </c>
      <c r="I129" s="167">
        <f>H129*100/H111</f>
        <v>11.756756756756756</v>
      </c>
      <c r="J129" s="169">
        <f>J124+J125+J126+J127</f>
        <v>340</v>
      </c>
      <c r="K129" s="167">
        <f>J129*100/J111</f>
        <v>4.050029779630733</v>
      </c>
      <c r="L129" s="169">
        <f>L124+L125+L126+L127</f>
        <v>-45</v>
      </c>
      <c r="M129" s="167">
        <f>L129*100/L111</f>
        <v>-0.46806740170584565</v>
      </c>
      <c r="N129" s="169">
        <f>N124+N125+N126+N127</f>
        <v>1152</v>
      </c>
      <c r="O129" s="167">
        <f>N129*100/N111</f>
        <v>10.62632598468776</v>
      </c>
      <c r="P129" s="169">
        <f>P124+P125+P126+P127</f>
        <v>481</v>
      </c>
      <c r="Q129" s="167">
        <f>P129*100/P111</f>
        <v>4.782738391170329</v>
      </c>
      <c r="R129" s="169">
        <f>R124+R125+R126+R127</f>
        <v>83</v>
      </c>
      <c r="S129" s="167">
        <f>R129*100/R111</f>
        <v>1.329915077711905</v>
      </c>
      <c r="T129" s="169">
        <f>T124+T125+T126+T127</f>
        <v>-8597</v>
      </c>
      <c r="U129" s="167">
        <f>T129*100/T111</f>
        <v>-155.4330139215332</v>
      </c>
      <c r="V129" s="80"/>
    </row>
    <row r="130" spans="1:22" ht="12.75">
      <c r="A130" s="162" t="s">
        <v>70</v>
      </c>
      <c r="B130" s="160">
        <f>40-270</f>
        <v>-230</v>
      </c>
      <c r="C130" s="161"/>
      <c r="D130" s="160">
        <f>72-222</f>
        <v>-150</v>
      </c>
      <c r="E130" s="161"/>
      <c r="F130" s="160">
        <f>-196+73</f>
        <v>-123</v>
      </c>
      <c r="G130" s="161"/>
      <c r="H130" s="160">
        <f>85-158</f>
        <v>-73</v>
      </c>
      <c r="I130" s="161"/>
      <c r="J130" s="160">
        <f>108-209</f>
        <v>-101</v>
      </c>
      <c r="K130" s="161"/>
      <c r="L130" s="160">
        <f>82-171</f>
        <v>-89</v>
      </c>
      <c r="M130" s="161"/>
      <c r="N130" s="160">
        <f>79-198</f>
        <v>-119</v>
      </c>
      <c r="O130" s="161"/>
      <c r="P130" s="160">
        <f>124-232</f>
        <v>-108</v>
      </c>
      <c r="Q130" s="161"/>
      <c r="R130" s="160">
        <f>61-131</f>
        <v>-70</v>
      </c>
      <c r="S130" s="161"/>
      <c r="T130" s="160">
        <f>62-932</f>
        <v>-870</v>
      </c>
      <c r="U130" s="161"/>
      <c r="V130" s="80"/>
    </row>
    <row r="131" spans="1:22" ht="12.75">
      <c r="A131" s="162" t="s">
        <v>71</v>
      </c>
      <c r="B131" s="160"/>
      <c r="C131" s="161"/>
      <c r="D131" s="160"/>
      <c r="E131" s="161"/>
      <c r="F131" s="160"/>
      <c r="G131" s="161"/>
      <c r="H131" s="160"/>
      <c r="I131" s="161"/>
      <c r="J131" s="160"/>
      <c r="K131" s="161"/>
      <c r="L131" s="160"/>
      <c r="M131" s="161"/>
      <c r="N131" s="160"/>
      <c r="O131" s="161"/>
      <c r="P131" s="160"/>
      <c r="Q131" s="161"/>
      <c r="R131" s="160"/>
      <c r="S131" s="161"/>
      <c r="T131" s="160"/>
      <c r="U131" s="161"/>
      <c r="V131" s="80"/>
    </row>
    <row r="132" spans="1:22" ht="12.75">
      <c r="A132" s="162" t="s">
        <v>72</v>
      </c>
      <c r="B132" s="160">
        <v>-56</v>
      </c>
      <c r="C132" s="161"/>
      <c r="D132" s="160">
        <v>-130</v>
      </c>
      <c r="E132" s="161"/>
      <c r="F132" s="160">
        <v>-192</v>
      </c>
      <c r="G132" s="161"/>
      <c r="H132" s="160">
        <v>-207</v>
      </c>
      <c r="I132" s="161"/>
      <c r="J132" s="160">
        <v>-204</v>
      </c>
      <c r="K132" s="161"/>
      <c r="L132" s="160">
        <v>-220</v>
      </c>
      <c r="M132" s="161"/>
      <c r="N132" s="160">
        <v>-215</v>
      </c>
      <c r="O132" s="161"/>
      <c r="P132" s="160">
        <v>-153</v>
      </c>
      <c r="Q132" s="161"/>
      <c r="R132" s="160">
        <v>-127</v>
      </c>
      <c r="S132" s="161"/>
      <c r="T132" s="160">
        <v>-103</v>
      </c>
      <c r="U132" s="161"/>
      <c r="V132" s="80"/>
    </row>
    <row r="133" spans="1:22" ht="12.75">
      <c r="A133" s="162"/>
      <c r="B133" s="95" t="s">
        <v>73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80"/>
    </row>
    <row r="134" spans="1:22" ht="12.75">
      <c r="A134" s="168" t="s">
        <v>74</v>
      </c>
      <c r="B134" s="185">
        <f>B129+B130+B131+B132</f>
        <v>-688</v>
      </c>
      <c r="C134" s="167">
        <f>B134*100/B111</f>
        <v>-9.307359307359308</v>
      </c>
      <c r="D134" s="169">
        <f>D129+D130+D131+D132</f>
        <v>415</v>
      </c>
      <c r="E134" s="167">
        <f>D134*100/D111</f>
        <v>5.604321404456448</v>
      </c>
      <c r="F134" s="185">
        <f>F129+F130+F131+F132</f>
        <v>644</v>
      </c>
      <c r="G134" s="167">
        <f>F134*100/F111</f>
        <v>8.546781685467817</v>
      </c>
      <c r="H134" s="185">
        <f>H129+H130+H131+H132</f>
        <v>677</v>
      </c>
      <c r="I134" s="167">
        <f>H134*100/H111</f>
        <v>8.316953316953317</v>
      </c>
      <c r="J134" s="185">
        <f>J129+J130+J131+J132</f>
        <v>35</v>
      </c>
      <c r="K134" s="167">
        <f>J134*100/J111</f>
        <v>0.4169148302561048</v>
      </c>
      <c r="L134" s="185">
        <f>L129+L130+L131+L132</f>
        <v>-354</v>
      </c>
      <c r="M134" s="167">
        <f>L134*100/L111</f>
        <v>-3.6821302267526526</v>
      </c>
      <c r="N134" s="185">
        <f>N129+N130+N131+N132</f>
        <v>818</v>
      </c>
      <c r="O134" s="167">
        <f>N134*100/N111</f>
        <v>7.545429388432801</v>
      </c>
      <c r="P134" s="185">
        <f>P129+P130+P131+P132</f>
        <v>220</v>
      </c>
      <c r="Q134" s="167">
        <f>P134*100/P111</f>
        <v>2.187531072884558</v>
      </c>
      <c r="R134" s="185">
        <f>R129+R130+R131+R132</f>
        <v>-114</v>
      </c>
      <c r="S134" s="167">
        <f>R134*100/R111</f>
        <v>-1.8266303477006889</v>
      </c>
      <c r="T134" s="185">
        <f>T129+T130+T131+T132</f>
        <v>-9570</v>
      </c>
      <c r="U134" s="167">
        <f>T134*100/T111</f>
        <v>-173.0247694811065</v>
      </c>
      <c r="V134" s="80"/>
    </row>
    <row r="135" spans="1:22" ht="12.75">
      <c r="A135" s="162" t="s">
        <v>313</v>
      </c>
      <c r="B135" s="160">
        <v>3</v>
      </c>
      <c r="C135" s="161"/>
      <c r="D135" s="160">
        <v>20</v>
      </c>
      <c r="E135" s="161"/>
      <c r="F135" s="160">
        <v>20</v>
      </c>
      <c r="G135" s="161"/>
      <c r="H135" s="160">
        <v>12</v>
      </c>
      <c r="I135" s="161"/>
      <c r="J135" s="160">
        <v>4</v>
      </c>
      <c r="K135" s="161"/>
      <c r="L135" s="160">
        <v>4</v>
      </c>
      <c r="M135" s="161"/>
      <c r="N135" s="160">
        <v>6</v>
      </c>
      <c r="O135" s="161"/>
      <c r="P135" s="160">
        <f>5+31</f>
        <v>36</v>
      </c>
      <c r="Q135" s="161"/>
      <c r="R135" s="160">
        <v>1</v>
      </c>
      <c r="S135" s="161"/>
      <c r="T135" s="160"/>
      <c r="U135" s="161"/>
      <c r="V135" s="80"/>
    </row>
    <row r="136" spans="1:22" ht="12.75">
      <c r="A136" s="162" t="s">
        <v>75</v>
      </c>
      <c r="B136" s="160"/>
      <c r="C136" s="161"/>
      <c r="D136" s="160"/>
      <c r="E136" s="161"/>
      <c r="F136" s="160"/>
      <c r="G136" s="161"/>
      <c r="H136" s="160">
        <v>-131</v>
      </c>
      <c r="I136" s="161"/>
      <c r="J136" s="160">
        <v>-27</v>
      </c>
      <c r="K136" s="161"/>
      <c r="L136" s="160">
        <v>-77</v>
      </c>
      <c r="M136" s="161"/>
      <c r="N136" s="160">
        <v>-47</v>
      </c>
      <c r="O136" s="161"/>
      <c r="P136" s="160"/>
      <c r="Q136" s="161"/>
      <c r="R136" s="160">
        <v>-2</v>
      </c>
      <c r="S136" s="161"/>
      <c r="T136" s="160"/>
      <c r="U136" s="161"/>
      <c r="V136" s="80"/>
    </row>
    <row r="137" spans="1:22" ht="12.75">
      <c r="A137" s="162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80"/>
    </row>
    <row r="138" spans="1:22" ht="12.75">
      <c r="A138" s="168" t="s">
        <v>76</v>
      </c>
      <c r="B138" s="170">
        <f>B134+B135+B136</f>
        <v>-685</v>
      </c>
      <c r="C138" s="167">
        <f>B138*100/B111</f>
        <v>-9.266774891774892</v>
      </c>
      <c r="D138" s="170">
        <f>D134+D135+D136</f>
        <v>435</v>
      </c>
      <c r="E138" s="167">
        <f>D138*100/D111</f>
        <v>5.87440918298447</v>
      </c>
      <c r="F138" s="170">
        <f>F134+F135+F136</f>
        <v>664</v>
      </c>
      <c r="G138" s="167">
        <f>F138*100/F111</f>
        <v>8.812209688122097</v>
      </c>
      <c r="H138" s="170">
        <f>H134+H135+H136</f>
        <v>558</v>
      </c>
      <c r="I138" s="167">
        <f>H138*100/H111</f>
        <v>6.855036855036855</v>
      </c>
      <c r="J138" s="170">
        <f>J134+J135+J136</f>
        <v>12</v>
      </c>
      <c r="K138" s="167">
        <f>J138*100/J111</f>
        <v>0.1429422275163788</v>
      </c>
      <c r="L138" s="170">
        <f>L134+L135+L136</f>
        <v>-427</v>
      </c>
      <c r="M138" s="167">
        <f>L138*100/L111</f>
        <v>-4.4414395672976905</v>
      </c>
      <c r="N138" s="170">
        <f>N134+N135+N136</f>
        <v>777</v>
      </c>
      <c r="O138" s="167">
        <f>N138*100/N111</f>
        <v>7.167235494880546</v>
      </c>
      <c r="P138" s="170">
        <f>P134+P135+P136</f>
        <v>256</v>
      </c>
      <c r="Q138" s="167">
        <f>P138*100/P111</f>
        <v>2.5454907029929403</v>
      </c>
      <c r="R138" s="170">
        <f>R134+R135+R136</f>
        <v>-115</v>
      </c>
      <c r="S138" s="167">
        <f>R138*100/R111</f>
        <v>-1.8426534209261336</v>
      </c>
      <c r="T138" s="170">
        <f>T134+T135+T136</f>
        <v>-9570</v>
      </c>
      <c r="U138" s="167">
        <f>T138*100/T111</f>
        <v>-173.0247694811065</v>
      </c>
      <c r="V138" s="80"/>
    </row>
    <row r="139" spans="1:22" ht="12.75">
      <c r="A139" s="162" t="s">
        <v>314</v>
      </c>
      <c r="B139" s="160">
        <v>-413</v>
      </c>
      <c r="C139" s="161">
        <f>-B139*100/B111</f>
        <v>5.587121212121212</v>
      </c>
      <c r="D139" s="160">
        <v>-294</v>
      </c>
      <c r="E139" s="161">
        <f>-D139*100/D111</f>
        <v>3.9702903443619175</v>
      </c>
      <c r="F139" s="160">
        <v>-422</v>
      </c>
      <c r="G139" s="161">
        <f>-F139*100/F111</f>
        <v>5.600530856005308</v>
      </c>
      <c r="H139" s="160">
        <v>-295</v>
      </c>
      <c r="I139" s="161">
        <f>-H139*100/H111</f>
        <v>3.6240786240786242</v>
      </c>
      <c r="J139" s="160">
        <v>-312</v>
      </c>
      <c r="K139" s="161">
        <f>-J139*100/J111</f>
        <v>3.716497915425849</v>
      </c>
      <c r="L139" s="160">
        <v>-420</v>
      </c>
      <c r="M139" s="161">
        <f>-L139*100/L111</f>
        <v>4.368629082587892</v>
      </c>
      <c r="N139" s="160">
        <v>-585</v>
      </c>
      <c r="O139" s="161">
        <f>-N139*100/N111</f>
        <v>5.396181164099253</v>
      </c>
      <c r="P139" s="160">
        <v>-725</v>
      </c>
      <c r="Q139" s="161">
        <f>-P139*100/P111</f>
        <v>7.208909217460476</v>
      </c>
      <c r="R139" s="160">
        <v>-566</v>
      </c>
      <c r="S139" s="161">
        <f>-R139*100/R111</f>
        <v>9.069059445601667</v>
      </c>
      <c r="T139" s="160">
        <v>-674</v>
      </c>
      <c r="U139" s="161">
        <f>-T139*100/T111</f>
        <v>12.185861507864763</v>
      </c>
      <c r="V139" s="80"/>
    </row>
    <row r="140" spans="1:22" ht="12.75">
      <c r="A140" s="162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80"/>
    </row>
    <row r="141" spans="1:22" ht="12.75">
      <c r="A141" s="168" t="s">
        <v>77</v>
      </c>
      <c r="B141" s="169">
        <f>B138+B139</f>
        <v>-1098</v>
      </c>
      <c r="C141" s="167">
        <f>B141*100/B111</f>
        <v>-14.853896103896103</v>
      </c>
      <c r="D141" s="169">
        <f>D138+D139</f>
        <v>141</v>
      </c>
      <c r="E141" s="167">
        <f>D141*100/D111</f>
        <v>1.9041188386225523</v>
      </c>
      <c r="F141" s="169">
        <f>F138+F139</f>
        <v>242</v>
      </c>
      <c r="G141" s="167">
        <f>F141*100/F111</f>
        <v>3.2116788321167884</v>
      </c>
      <c r="H141" s="169">
        <f>H138+H139</f>
        <v>263</v>
      </c>
      <c r="I141" s="167">
        <f>H141*100/H111</f>
        <v>3.230958230958231</v>
      </c>
      <c r="J141" s="169">
        <f>J138+J139</f>
        <v>-300</v>
      </c>
      <c r="K141" s="167">
        <f>J141*100/J111</f>
        <v>-3.57355568790947</v>
      </c>
      <c r="L141" s="169">
        <f>L138+L139</f>
        <v>-847</v>
      </c>
      <c r="M141" s="167">
        <f>L141*100/L111</f>
        <v>-8.810068649885583</v>
      </c>
      <c r="N141" s="169">
        <f>N138+N139</f>
        <v>192</v>
      </c>
      <c r="O141" s="167">
        <f>N141*100/N111</f>
        <v>1.7710543307812932</v>
      </c>
      <c r="P141" s="169">
        <f>P138+P139</f>
        <v>-469</v>
      </c>
      <c r="Q141" s="167">
        <f>P141*100/P111</f>
        <v>-4.663418514467535</v>
      </c>
      <c r="R141" s="169">
        <f>R138+R139</f>
        <v>-681</v>
      </c>
      <c r="S141" s="167">
        <f>R141*100/R111</f>
        <v>-10.9117128665278</v>
      </c>
      <c r="T141" s="169">
        <f>T138+T139</f>
        <v>-10244</v>
      </c>
      <c r="U141" s="167">
        <f>T141*100/T111</f>
        <v>-185.21063098897125</v>
      </c>
      <c r="V141" s="80"/>
    </row>
    <row r="142" spans="1:22" ht="12.75">
      <c r="A142" s="162" t="s">
        <v>78</v>
      </c>
      <c r="B142" s="160"/>
      <c r="C142" s="161"/>
      <c r="D142" s="160">
        <v>13</v>
      </c>
      <c r="E142" s="161"/>
      <c r="F142" s="160"/>
      <c r="G142" s="161"/>
      <c r="H142" s="160"/>
      <c r="I142" s="161"/>
      <c r="J142" s="160"/>
      <c r="K142" s="161"/>
      <c r="L142" s="160"/>
      <c r="M142" s="161"/>
      <c r="N142" s="160"/>
      <c r="O142" s="161"/>
      <c r="P142" s="160"/>
      <c r="Q142" s="161"/>
      <c r="R142" s="160"/>
      <c r="S142" s="161"/>
      <c r="T142" s="160"/>
      <c r="U142" s="161"/>
      <c r="V142" s="80"/>
    </row>
    <row r="143" spans="1:22" ht="12.75">
      <c r="A143" s="162" t="s">
        <v>244</v>
      </c>
      <c r="B143" s="160"/>
      <c r="C143" s="161"/>
      <c r="D143" s="160"/>
      <c r="E143" s="161"/>
      <c r="F143" s="160"/>
      <c r="G143" s="161"/>
      <c r="H143" s="160"/>
      <c r="I143" s="161"/>
      <c r="J143" s="160"/>
      <c r="K143" s="161"/>
      <c r="L143" s="160"/>
      <c r="M143" s="161"/>
      <c r="N143" s="160"/>
      <c r="O143" s="161"/>
      <c r="P143" s="160"/>
      <c r="Q143" s="161"/>
      <c r="R143" s="160"/>
      <c r="S143" s="161"/>
      <c r="T143" s="160"/>
      <c r="U143" s="161"/>
      <c r="V143" s="80"/>
    </row>
    <row r="144" spans="1:22" ht="12.75">
      <c r="A144" s="162" t="s">
        <v>79</v>
      </c>
      <c r="B144" s="160">
        <f>1319-113</f>
        <v>1206</v>
      </c>
      <c r="C144" s="161"/>
      <c r="D144" s="160">
        <f>69-13-56</f>
        <v>0</v>
      </c>
      <c r="E144" s="161"/>
      <c r="F144" s="160">
        <v>-205</v>
      </c>
      <c r="G144" s="161"/>
      <c r="H144" s="160">
        <v>-314</v>
      </c>
      <c r="I144" s="161"/>
      <c r="J144" s="160">
        <f>368-350</f>
        <v>18</v>
      </c>
      <c r="K144" s="161"/>
      <c r="L144" s="160">
        <v>-25</v>
      </c>
      <c r="M144" s="161"/>
      <c r="N144" s="160">
        <v>7</v>
      </c>
      <c r="O144" s="161"/>
      <c r="P144" s="160">
        <v>23</v>
      </c>
      <c r="Q144" s="161"/>
      <c r="R144" s="160">
        <v>-4</v>
      </c>
      <c r="S144" s="161"/>
      <c r="T144" s="160"/>
      <c r="U144" s="161"/>
      <c r="V144" s="80"/>
    </row>
    <row r="145" spans="1:22" ht="12.75">
      <c r="A145" s="162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80"/>
    </row>
    <row r="146" spans="1:22" ht="12.75">
      <c r="A146" s="168" t="s">
        <v>80</v>
      </c>
      <c r="B146" s="170">
        <f>B141+B142+B143+B144</f>
        <v>108</v>
      </c>
      <c r="C146" s="167">
        <f>B146*100/B111</f>
        <v>1.4610389610389611</v>
      </c>
      <c r="D146" s="170">
        <f>D141+D142+D143+D144</f>
        <v>154</v>
      </c>
      <c r="E146" s="167">
        <f>D146*100/D111</f>
        <v>2.0796758946657663</v>
      </c>
      <c r="F146" s="170">
        <f>F141+F142+F143+F144</f>
        <v>37</v>
      </c>
      <c r="G146" s="167">
        <f>F146*100/F111</f>
        <v>0.49104180491041804</v>
      </c>
      <c r="H146" s="170">
        <f>H141+H142+H143+H144</f>
        <v>-51</v>
      </c>
      <c r="I146" s="167">
        <f>H146*100/H111</f>
        <v>-0.6265356265356266</v>
      </c>
      <c r="J146" s="170">
        <f>J141+J142+J143+J144</f>
        <v>-282</v>
      </c>
      <c r="K146" s="167">
        <f>J146*100/J111</f>
        <v>-3.3591423466349015</v>
      </c>
      <c r="L146" s="170">
        <f>L141+L142+L143+L144</f>
        <v>-872</v>
      </c>
      <c r="M146" s="167">
        <f>L146*100/L111</f>
        <v>-9.07010609527772</v>
      </c>
      <c r="N146" s="170">
        <f>N141+N142+N143+N144</f>
        <v>199</v>
      </c>
      <c r="O146" s="167">
        <f>N146*100/N111</f>
        <v>1.8356240199243612</v>
      </c>
      <c r="P146" s="170">
        <f>P141+P142+P143+P144</f>
        <v>-446</v>
      </c>
      <c r="Q146" s="167">
        <f>P146*100/P111</f>
        <v>-4.434722084120513</v>
      </c>
      <c r="R146" s="170">
        <f>R141+R142+R143+R144</f>
        <v>-685</v>
      </c>
      <c r="S146" s="167">
        <f>R146*100/R111</f>
        <v>-10.975805159429578</v>
      </c>
      <c r="T146" s="170">
        <f>T141+T142+T143+T144</f>
        <v>-10244</v>
      </c>
      <c r="U146" s="167">
        <f>T146*100/T111</f>
        <v>-185.21063098897125</v>
      </c>
      <c r="V146" s="80"/>
    </row>
    <row r="147" spans="1:22" ht="12.75">
      <c r="A147" s="162" t="s">
        <v>81</v>
      </c>
      <c r="B147" s="160">
        <v>-79</v>
      </c>
      <c r="C147" s="161"/>
      <c r="D147" s="160">
        <v>-118</v>
      </c>
      <c r="E147" s="161"/>
      <c r="F147" s="160">
        <v>-139</v>
      </c>
      <c r="G147" s="161"/>
      <c r="H147" s="160">
        <v>-140</v>
      </c>
      <c r="I147" s="161"/>
      <c r="J147" s="160">
        <v>-121</v>
      </c>
      <c r="K147" s="161"/>
      <c r="L147" s="160">
        <v>-100</v>
      </c>
      <c r="M147" s="161"/>
      <c r="N147" s="160">
        <v>-142</v>
      </c>
      <c r="O147" s="161"/>
      <c r="P147" s="160">
        <v>-98</v>
      </c>
      <c r="Q147" s="161"/>
      <c r="R147" s="160">
        <v>-79</v>
      </c>
      <c r="S147" s="161"/>
      <c r="T147" s="160"/>
      <c r="U147" s="161"/>
      <c r="V147" s="80"/>
    </row>
    <row r="148" spans="1:22" ht="12.75">
      <c r="A148" s="162" t="s">
        <v>82</v>
      </c>
      <c r="B148" s="160"/>
      <c r="C148" s="161"/>
      <c r="D148" s="160"/>
      <c r="E148" s="161"/>
      <c r="F148" s="160"/>
      <c r="G148" s="161"/>
      <c r="H148" s="160"/>
      <c r="I148" s="161"/>
      <c r="J148" s="160"/>
      <c r="K148" s="161"/>
      <c r="L148" s="160"/>
      <c r="M148" s="161"/>
      <c r="N148" s="160"/>
      <c r="O148" s="161"/>
      <c r="P148" s="160"/>
      <c r="Q148" s="161"/>
      <c r="R148" s="160"/>
      <c r="S148" s="161"/>
      <c r="T148" s="160"/>
      <c r="U148" s="161"/>
      <c r="V148" s="80"/>
    </row>
    <row r="149" spans="1:22" ht="13.5" thickBot="1">
      <c r="A149" s="162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80"/>
    </row>
    <row r="150" spans="1:22" ht="13.5" thickBot="1">
      <c r="A150" s="186" t="s">
        <v>83</v>
      </c>
      <c r="B150" s="170">
        <f>B146+B147+B148</f>
        <v>29</v>
      </c>
      <c r="C150" s="167">
        <f>B150*100/B111</f>
        <v>0.39231601731601734</v>
      </c>
      <c r="D150" s="170">
        <f>D146+D147+D148</f>
        <v>36</v>
      </c>
      <c r="E150" s="167">
        <f>D150*100/D111</f>
        <v>0.4861580013504389</v>
      </c>
      <c r="F150" s="169">
        <f>F146+F147+F148</f>
        <v>-102</v>
      </c>
      <c r="G150" s="167">
        <f>F150*100/F111</f>
        <v>-1.3536828135368282</v>
      </c>
      <c r="H150" s="169">
        <f>H146+H147+H148</f>
        <v>-191</v>
      </c>
      <c r="I150" s="167">
        <f>H150*100/H111</f>
        <v>-2.3464373464373462</v>
      </c>
      <c r="J150" s="169">
        <f>J146+J147+J148</f>
        <v>-403</v>
      </c>
      <c r="K150" s="167">
        <f>J150*100/J111</f>
        <v>-4.800476474091721</v>
      </c>
      <c r="L150" s="169">
        <f>L146+L147+L148</f>
        <v>-972</v>
      </c>
      <c r="M150" s="167">
        <f>L150*100/L111</f>
        <v>-10.110255876846265</v>
      </c>
      <c r="N150" s="169">
        <f>N146+N147+N148</f>
        <v>57</v>
      </c>
      <c r="O150" s="167">
        <f>N150*100/N111</f>
        <v>0.5257817544506964</v>
      </c>
      <c r="P150" s="169">
        <f>P146+P147+P148</f>
        <v>-544</v>
      </c>
      <c r="Q150" s="167">
        <f>P150*100/P111</f>
        <v>-5.409167743859998</v>
      </c>
      <c r="R150" s="169">
        <f>R146+R147+R148</f>
        <v>-764</v>
      </c>
      <c r="S150" s="167">
        <f>R150*100/R111</f>
        <v>-12.241627944239704</v>
      </c>
      <c r="T150" s="169">
        <f>T146+T147+T148</f>
        <v>-10244</v>
      </c>
      <c r="U150" s="167">
        <f>T150*100/T111</f>
        <v>-185.21063098897125</v>
      </c>
      <c r="V150" s="80"/>
    </row>
    <row r="151" spans="1:22" ht="12.75">
      <c r="A151" s="162" t="s">
        <v>84</v>
      </c>
      <c r="B151" s="160"/>
      <c r="C151" s="161"/>
      <c r="D151" s="160"/>
      <c r="E151" s="161"/>
      <c r="F151" s="160"/>
      <c r="G151" s="161"/>
      <c r="H151" s="160"/>
      <c r="I151" s="161"/>
      <c r="J151" s="160"/>
      <c r="K151" s="161"/>
      <c r="L151" s="160"/>
      <c r="M151" s="161"/>
      <c r="N151" s="160"/>
      <c r="O151" s="161"/>
      <c r="P151" s="160"/>
      <c r="Q151" s="161"/>
      <c r="R151" s="160"/>
      <c r="S151" s="161"/>
      <c r="T151" s="160"/>
      <c r="U151" s="161"/>
      <c r="V151" s="80"/>
    </row>
    <row r="152" spans="1:22" ht="12.75">
      <c r="A152" s="162" t="s">
        <v>85</v>
      </c>
      <c r="B152" s="160"/>
      <c r="C152" s="161"/>
      <c r="D152" s="160"/>
      <c r="E152" s="161"/>
      <c r="F152" s="160"/>
      <c r="G152" s="161"/>
      <c r="H152" s="160"/>
      <c r="I152" s="161"/>
      <c r="J152" s="160"/>
      <c r="K152" s="161"/>
      <c r="L152" s="160"/>
      <c r="M152" s="161"/>
      <c r="N152" s="160"/>
      <c r="O152" s="161"/>
      <c r="P152" s="160"/>
      <c r="Q152" s="161"/>
      <c r="R152" s="160"/>
      <c r="S152" s="161"/>
      <c r="T152" s="160"/>
      <c r="U152" s="161"/>
      <c r="V152" s="80"/>
    </row>
    <row r="153" spans="1:22" ht="12.75">
      <c r="A153" s="162" t="s">
        <v>86</v>
      </c>
      <c r="B153" s="160"/>
      <c r="C153" s="161"/>
      <c r="D153" s="160"/>
      <c r="E153" s="161"/>
      <c r="F153" s="160"/>
      <c r="G153" s="161"/>
      <c r="H153" s="160"/>
      <c r="I153" s="161"/>
      <c r="J153" s="160"/>
      <c r="K153" s="161"/>
      <c r="L153" s="160"/>
      <c r="M153" s="161"/>
      <c r="N153" s="160"/>
      <c r="O153" s="161"/>
      <c r="P153" s="160"/>
      <c r="Q153" s="161"/>
      <c r="R153" s="160"/>
      <c r="S153" s="161"/>
      <c r="T153" s="160"/>
      <c r="U153" s="161"/>
      <c r="V153" s="80"/>
    </row>
    <row r="154" spans="1:22" ht="12.75">
      <c r="A154" s="162" t="s">
        <v>87</v>
      </c>
      <c r="B154" s="160"/>
      <c r="C154" s="161"/>
      <c r="D154" s="160"/>
      <c r="E154" s="161"/>
      <c r="F154" s="160"/>
      <c r="G154" s="161"/>
      <c r="H154" s="160"/>
      <c r="I154" s="161"/>
      <c r="J154" s="160"/>
      <c r="K154" s="161"/>
      <c r="L154" s="160"/>
      <c r="M154" s="161"/>
      <c r="N154" s="160"/>
      <c r="O154" s="161"/>
      <c r="P154" s="160"/>
      <c r="Q154" s="161"/>
      <c r="R154" s="160"/>
      <c r="S154" s="161"/>
      <c r="T154" s="160"/>
      <c r="U154" s="161"/>
      <c r="V154" s="80"/>
    </row>
    <row r="155" spans="1:22" ht="12.75">
      <c r="A155" s="162" t="s">
        <v>88</v>
      </c>
      <c r="B155" s="160"/>
      <c r="C155" s="161"/>
      <c r="D155" s="160"/>
      <c r="E155" s="161"/>
      <c r="F155" s="160"/>
      <c r="G155" s="161"/>
      <c r="H155" s="160"/>
      <c r="I155" s="161"/>
      <c r="J155" s="160">
        <v>350</v>
      </c>
      <c r="K155" s="161"/>
      <c r="L155" s="160"/>
      <c r="M155" s="161"/>
      <c r="N155" s="160"/>
      <c r="O155" s="161"/>
      <c r="P155" s="160"/>
      <c r="Q155" s="161"/>
      <c r="R155" s="160"/>
      <c r="S155" s="161"/>
      <c r="T155" s="160"/>
      <c r="U155" s="161"/>
      <c r="V155" s="80"/>
    </row>
    <row r="156" spans="1:22" ht="13.5" thickBot="1">
      <c r="A156" s="162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80"/>
    </row>
    <row r="157" spans="1:22" ht="13.5" thickBot="1">
      <c r="A157" s="186" t="s">
        <v>259</v>
      </c>
      <c r="B157" s="170">
        <f>B150+B151+B152+B153+B154+B155</f>
        <v>29</v>
      </c>
      <c r="C157" s="167">
        <f>B157*100/B111</f>
        <v>0.39231601731601734</v>
      </c>
      <c r="D157" s="170">
        <f>D150+D151+D152+D153+D154+D155</f>
        <v>36</v>
      </c>
      <c r="E157" s="167">
        <f>D157*100/D111</f>
        <v>0.4861580013504389</v>
      </c>
      <c r="F157" s="170">
        <f>F150+F151+F152+F153+F154+F155</f>
        <v>-102</v>
      </c>
      <c r="G157" s="167">
        <f>F157*100/F111</f>
        <v>-1.3536828135368282</v>
      </c>
      <c r="H157" s="170">
        <f>H150+H151+H152+H153+H154+H155</f>
        <v>-191</v>
      </c>
      <c r="I157" s="167">
        <f>H157*100/H111</f>
        <v>-2.3464373464373462</v>
      </c>
      <c r="J157" s="170">
        <f>J150+J151+J152+J153+J154+J155</f>
        <v>-53</v>
      </c>
      <c r="K157" s="167">
        <f>J157*100/J111</f>
        <v>-0.631328171530673</v>
      </c>
      <c r="L157" s="170">
        <f>L150+L151+L152+L153+L154+L155</f>
        <v>-972</v>
      </c>
      <c r="M157" s="167">
        <f>L157*100/L111</f>
        <v>-10.110255876846265</v>
      </c>
      <c r="N157" s="170">
        <f>N150+N151+N152+N153+N154+N155</f>
        <v>57</v>
      </c>
      <c r="O157" s="167">
        <f>N157*100/N111</f>
        <v>0.5257817544506964</v>
      </c>
      <c r="P157" s="170">
        <f>P150+P151+P152+P153+P154+P155</f>
        <v>-544</v>
      </c>
      <c r="Q157" s="167">
        <f>P157*100/P111</f>
        <v>-5.409167743859998</v>
      </c>
      <c r="R157" s="170">
        <f>R150+R151+R152+R153+R154+R155</f>
        <v>-764</v>
      </c>
      <c r="S157" s="167">
        <f>R157*100/R111</f>
        <v>-12.241627944239704</v>
      </c>
      <c r="T157" s="170">
        <f>T150+T151+T152+T153+T154+T155</f>
        <v>-10244</v>
      </c>
      <c r="U157" s="167">
        <f>T157*100/T111</f>
        <v>-185.21063098897125</v>
      </c>
      <c r="V157" s="80"/>
    </row>
    <row r="158" spans="1:22" ht="12.75">
      <c r="A158" s="157" t="s">
        <v>89</v>
      </c>
      <c r="B158" s="181">
        <f>+B157-B65</f>
        <v>0</v>
      </c>
      <c r="C158" s="95"/>
      <c r="D158" s="181">
        <f>+D157-D65</f>
        <v>0</v>
      </c>
      <c r="E158" s="95"/>
      <c r="F158" s="181">
        <f>+F157-F65</f>
        <v>0</v>
      </c>
      <c r="G158" s="95"/>
      <c r="H158" s="181">
        <f>+H157-H65</f>
        <v>0</v>
      </c>
      <c r="I158" s="95"/>
      <c r="J158" s="181">
        <f>+J157-J65</f>
        <v>0</v>
      </c>
      <c r="K158" s="95"/>
      <c r="L158" s="181">
        <f>+L157-L65</f>
        <v>0</v>
      </c>
      <c r="M158" s="95"/>
      <c r="N158" s="181">
        <f>+N157-N65</f>
        <v>0</v>
      </c>
      <c r="O158" s="95"/>
      <c r="P158" s="181">
        <f>+P157-P65</f>
        <v>0</v>
      </c>
      <c r="Q158" s="95"/>
      <c r="R158" s="181">
        <f>+R157-R65</f>
        <v>0</v>
      </c>
      <c r="S158" s="95"/>
      <c r="T158" s="181">
        <f>+T157-T65</f>
        <v>0</v>
      </c>
      <c r="U158" s="95"/>
      <c r="V158" s="80"/>
    </row>
    <row r="159" spans="1:22" ht="12.75" hidden="1">
      <c r="A159" s="162" t="s">
        <v>90</v>
      </c>
      <c r="B159" s="160"/>
      <c r="C159" s="95"/>
      <c r="D159" s="160"/>
      <c r="E159" s="95"/>
      <c r="F159" s="160"/>
      <c r="G159" s="95"/>
      <c r="H159" s="160"/>
      <c r="I159" s="95"/>
      <c r="J159" s="160"/>
      <c r="K159" s="95"/>
      <c r="L159" s="160"/>
      <c r="M159" s="95"/>
      <c r="N159" s="160"/>
      <c r="O159" s="95"/>
      <c r="P159" s="160"/>
      <c r="Q159" s="95"/>
      <c r="R159" s="160"/>
      <c r="S159" s="95"/>
      <c r="T159" s="160"/>
      <c r="U159" s="95"/>
      <c r="V159" s="80"/>
    </row>
    <row r="160" spans="1:22" ht="12.75" hidden="1">
      <c r="A160" s="180" t="s">
        <v>91</v>
      </c>
      <c r="B160" s="160"/>
      <c r="C160" s="95"/>
      <c r="D160" s="160"/>
      <c r="E160" s="95"/>
      <c r="F160" s="160"/>
      <c r="G160" s="95"/>
      <c r="H160" s="160"/>
      <c r="I160" s="95"/>
      <c r="J160" s="160"/>
      <c r="K160" s="95"/>
      <c r="L160" s="160"/>
      <c r="M160" s="95"/>
      <c r="N160" s="160"/>
      <c r="O160" s="95"/>
      <c r="P160" s="160"/>
      <c r="Q160" s="95"/>
      <c r="R160" s="160"/>
      <c r="S160" s="95"/>
      <c r="T160" s="160"/>
      <c r="U160" s="95"/>
      <c r="V160" s="80"/>
    </row>
    <row r="161" spans="1:22" ht="12.75" hidden="1">
      <c r="A161" s="187" t="s">
        <v>245</v>
      </c>
      <c r="B161" s="160"/>
      <c r="C161" s="95"/>
      <c r="D161" s="160"/>
      <c r="E161" s="95"/>
      <c r="F161" s="160"/>
      <c r="G161" s="95"/>
      <c r="H161" s="160"/>
      <c r="I161" s="95"/>
      <c r="J161" s="160"/>
      <c r="K161" s="95"/>
      <c r="L161" s="160"/>
      <c r="M161" s="95"/>
      <c r="N161" s="160"/>
      <c r="O161" s="95"/>
      <c r="P161" s="160"/>
      <c r="Q161" s="95"/>
      <c r="R161" s="160"/>
      <c r="S161" s="95"/>
      <c r="T161" s="160"/>
      <c r="U161" s="95"/>
      <c r="V161" s="80"/>
    </row>
    <row r="162" spans="1:22" ht="12.75" hidden="1">
      <c r="A162" s="162" t="s">
        <v>246</v>
      </c>
      <c r="B162" s="160"/>
      <c r="C162" s="95"/>
      <c r="D162" s="160"/>
      <c r="E162" s="95"/>
      <c r="F162" s="160"/>
      <c r="G162" s="95"/>
      <c r="H162" s="160"/>
      <c r="I162" s="95"/>
      <c r="J162" s="160"/>
      <c r="K162" s="95"/>
      <c r="L162" s="160"/>
      <c r="M162" s="95"/>
      <c r="N162" s="160"/>
      <c r="O162" s="95"/>
      <c r="P162" s="160"/>
      <c r="Q162" s="95"/>
      <c r="R162" s="160"/>
      <c r="S162" s="95"/>
      <c r="T162" s="160"/>
      <c r="U162" s="95"/>
      <c r="V162" s="80"/>
    </row>
    <row r="163" spans="1:22" ht="12.75" hidden="1">
      <c r="A163" s="180" t="s">
        <v>247</v>
      </c>
      <c r="B163" s="160"/>
      <c r="C163" s="95"/>
      <c r="D163" s="160"/>
      <c r="E163" s="95"/>
      <c r="F163" s="160"/>
      <c r="G163" s="95"/>
      <c r="H163" s="160"/>
      <c r="I163" s="95"/>
      <c r="J163" s="160"/>
      <c r="K163" s="95"/>
      <c r="L163" s="160"/>
      <c r="M163" s="95"/>
      <c r="N163" s="160"/>
      <c r="O163" s="95"/>
      <c r="P163" s="160"/>
      <c r="Q163" s="95"/>
      <c r="R163" s="160"/>
      <c r="S163" s="95"/>
      <c r="T163" s="160"/>
      <c r="U163" s="95"/>
      <c r="V163" s="80"/>
    </row>
    <row r="164" spans="1:22" ht="12.75">
      <c r="A164" s="157" t="s">
        <v>92</v>
      </c>
      <c r="B164" s="160">
        <f>+B139+B135</f>
        <v>-410</v>
      </c>
      <c r="C164" s="95"/>
      <c r="D164" s="160">
        <f>+D139+D135</f>
        <v>-274</v>
      </c>
      <c r="E164" s="95"/>
      <c r="F164" s="160">
        <f>+F139+F135</f>
        <v>-402</v>
      </c>
      <c r="G164" s="95"/>
      <c r="H164" s="160">
        <f>+H139+H135</f>
        <v>-283</v>
      </c>
      <c r="I164" s="95"/>
      <c r="J164" s="160">
        <f>+J139+J135</f>
        <v>-308</v>
      </c>
      <c r="K164" s="95"/>
      <c r="L164" s="160">
        <f>+L139+L135</f>
        <v>-416</v>
      </c>
      <c r="M164" s="95"/>
      <c r="N164" s="160">
        <f>+N139+N135</f>
        <v>-579</v>
      </c>
      <c r="O164" s="95"/>
      <c r="P164" s="160">
        <f>+P139+P135</f>
        <v>-689</v>
      </c>
      <c r="Q164" s="95"/>
      <c r="R164" s="160">
        <f>+R139+R135</f>
        <v>-565</v>
      </c>
      <c r="S164" s="95"/>
      <c r="T164" s="160">
        <f>+T139+T135</f>
        <v>-674</v>
      </c>
      <c r="U164" s="95"/>
      <c r="V164" s="80"/>
    </row>
    <row r="165" spans="1:22" ht="12.75">
      <c r="A165" s="157" t="s">
        <v>93</v>
      </c>
      <c r="B165" s="160">
        <f>+B135+B139+B136</f>
        <v>-410</v>
      </c>
      <c r="C165" s="95"/>
      <c r="D165" s="160">
        <f>+D135+D139+D136</f>
        <v>-274</v>
      </c>
      <c r="E165" s="95"/>
      <c r="F165" s="160">
        <f>+F135+F139+F136</f>
        <v>-402</v>
      </c>
      <c r="G165" s="95"/>
      <c r="H165" s="160">
        <f>+H135+H139+H136</f>
        <v>-414</v>
      </c>
      <c r="I165" s="95"/>
      <c r="J165" s="160">
        <f>+J135+J139+J136</f>
        <v>-335</v>
      </c>
      <c r="K165" s="95"/>
      <c r="L165" s="160">
        <f>+L135+L139+L136</f>
        <v>-493</v>
      </c>
      <c r="M165" s="95"/>
      <c r="N165" s="160">
        <f>+N135+N139+N136</f>
        <v>-626</v>
      </c>
      <c r="O165" s="95"/>
      <c r="P165" s="160">
        <f>+P135+P139+P136</f>
        <v>-689</v>
      </c>
      <c r="Q165" s="95"/>
      <c r="R165" s="160">
        <f>+R135+R139+R136</f>
        <v>-567</v>
      </c>
      <c r="S165" s="95"/>
      <c r="T165" s="160">
        <f>+T135+T139+T136</f>
        <v>-674</v>
      </c>
      <c r="U165" s="95"/>
      <c r="V165" s="80"/>
    </row>
    <row r="166" spans="1:22" ht="12.75">
      <c r="A166" s="188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80"/>
    </row>
    <row r="167" spans="1:22" ht="12.75" hidden="1">
      <c r="A167" s="190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80"/>
    </row>
    <row r="168" spans="1:22" ht="12.75" hidden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</row>
    <row r="169" spans="1:22" ht="12.75" hidden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1:22" ht="12.75" hidden="1">
      <c r="A170" s="174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</row>
    <row r="171" spans="1:256" s="219" customFormat="1" ht="12.75">
      <c r="A171" s="220" t="s">
        <v>24</v>
      </c>
      <c r="B171" s="220"/>
      <c r="C171" s="220"/>
      <c r="D171" s="220"/>
      <c r="E171" s="220"/>
      <c r="F171" s="220" t="s">
        <v>73</v>
      </c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80"/>
      <c r="FM171" s="80"/>
      <c r="FN171" s="80"/>
      <c r="FO171" s="80"/>
      <c r="FP171" s="80"/>
      <c r="FQ171" s="80"/>
      <c r="FR171" s="80"/>
      <c r="FS171" s="80"/>
      <c r="FT171" s="80"/>
      <c r="FU171" s="80"/>
      <c r="FV171" s="80"/>
      <c r="FW171" s="80"/>
      <c r="FX171" s="80"/>
      <c r="FY171" s="80"/>
      <c r="FZ171" s="80"/>
      <c r="GA171" s="80"/>
      <c r="GB171" s="80"/>
      <c r="GC171" s="80"/>
      <c r="GD171" s="80"/>
      <c r="GE171" s="80"/>
      <c r="GF171" s="80"/>
      <c r="GG171" s="80"/>
      <c r="GH171" s="80"/>
      <c r="GI171" s="80"/>
      <c r="GJ171" s="80"/>
      <c r="GK171" s="80"/>
      <c r="GL171" s="80"/>
      <c r="GM171" s="80"/>
      <c r="GN171" s="80"/>
      <c r="GO171" s="80"/>
      <c r="GP171" s="80"/>
      <c r="GQ171" s="80"/>
      <c r="GR171" s="80"/>
      <c r="GS171" s="80"/>
      <c r="GT171" s="80"/>
      <c r="GU171" s="80"/>
      <c r="GV171" s="80"/>
      <c r="GW171" s="80"/>
      <c r="GX171" s="80"/>
      <c r="GY171" s="80"/>
      <c r="GZ171" s="80"/>
      <c r="HA171" s="80"/>
      <c r="HB171" s="80"/>
      <c r="HC171" s="80"/>
      <c r="HD171" s="80"/>
      <c r="HE171" s="80"/>
      <c r="HF171" s="80"/>
      <c r="HG171" s="80"/>
      <c r="HH171" s="80"/>
      <c r="HI171" s="80"/>
      <c r="HJ171" s="80"/>
      <c r="HK171" s="80"/>
      <c r="HL171" s="80"/>
      <c r="HM171" s="80"/>
      <c r="HN171" s="80"/>
      <c r="HO171" s="80"/>
      <c r="HP171" s="80"/>
      <c r="HQ171" s="80"/>
      <c r="HR171" s="80"/>
      <c r="HS171" s="80"/>
      <c r="HT171" s="80"/>
      <c r="HU171" s="80"/>
      <c r="HV171" s="80"/>
      <c r="HW171" s="80"/>
      <c r="HX171" s="80"/>
      <c r="HY171" s="80"/>
      <c r="HZ171" s="80"/>
      <c r="IA171" s="80"/>
      <c r="IB171" s="80"/>
      <c r="IC171" s="80"/>
      <c r="ID171" s="80"/>
      <c r="IE171" s="80"/>
      <c r="IF171" s="80"/>
      <c r="IG171" s="80"/>
      <c r="IH171" s="80"/>
      <c r="II171" s="80"/>
      <c r="IJ171" s="80"/>
      <c r="IK171" s="80"/>
      <c r="IL171" s="80"/>
      <c r="IM171" s="80"/>
      <c r="IN171" s="80"/>
      <c r="IO171" s="80"/>
      <c r="IP171" s="80"/>
      <c r="IQ171" s="80"/>
      <c r="IR171" s="80"/>
      <c r="IS171" s="80"/>
      <c r="IT171" s="80"/>
      <c r="IU171" s="80"/>
      <c r="IV171" s="80"/>
    </row>
    <row r="172" spans="1:256" s="219" customFormat="1" ht="12.75">
      <c r="A172" s="220" t="s">
        <v>331</v>
      </c>
      <c r="B172" s="220"/>
      <c r="C172" s="220"/>
      <c r="D172" s="220"/>
      <c r="E172" s="220" t="s">
        <v>73</v>
      </c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  <c r="FK172" s="80"/>
      <c r="FL172" s="80"/>
      <c r="FM172" s="80"/>
      <c r="FN172" s="80"/>
      <c r="FO172" s="80"/>
      <c r="FP172" s="80"/>
      <c r="FQ172" s="80"/>
      <c r="FR172" s="80"/>
      <c r="FS172" s="80"/>
      <c r="FT172" s="80"/>
      <c r="FU172" s="80"/>
      <c r="FV172" s="80"/>
      <c r="FW172" s="80"/>
      <c r="FX172" s="80"/>
      <c r="FY172" s="80"/>
      <c r="FZ172" s="80"/>
      <c r="GA172" s="80"/>
      <c r="GB172" s="80"/>
      <c r="GC172" s="80"/>
      <c r="GD172" s="80"/>
      <c r="GE172" s="80"/>
      <c r="GF172" s="80"/>
      <c r="GG172" s="80"/>
      <c r="GH172" s="80"/>
      <c r="GI172" s="80"/>
      <c r="GJ172" s="80"/>
      <c r="GK172" s="80"/>
      <c r="GL172" s="80"/>
      <c r="GM172" s="80"/>
      <c r="GN172" s="80"/>
      <c r="GO172" s="80"/>
      <c r="GP172" s="80"/>
      <c r="GQ172" s="80"/>
      <c r="GR172" s="80"/>
      <c r="GS172" s="80"/>
      <c r="GT172" s="80"/>
      <c r="GU172" s="80"/>
      <c r="GV172" s="80"/>
      <c r="GW172" s="80"/>
      <c r="GX172" s="80"/>
      <c r="GY172" s="80"/>
      <c r="GZ172" s="80"/>
      <c r="HA172" s="80"/>
      <c r="HB172" s="80"/>
      <c r="HC172" s="80"/>
      <c r="HD172" s="80"/>
      <c r="HE172" s="80"/>
      <c r="HF172" s="80"/>
      <c r="HG172" s="80"/>
      <c r="HH172" s="80"/>
      <c r="HI172" s="80"/>
      <c r="HJ172" s="80"/>
      <c r="HK172" s="80"/>
      <c r="HL172" s="80"/>
      <c r="HM172" s="80"/>
      <c r="HN172" s="80"/>
      <c r="HO172" s="80"/>
      <c r="HP172" s="80"/>
      <c r="HQ172" s="80"/>
      <c r="HR172" s="80"/>
      <c r="HS172" s="80"/>
      <c r="HT172" s="80"/>
      <c r="HU172" s="80"/>
      <c r="HV172" s="80"/>
      <c r="HW172" s="80"/>
      <c r="HX172" s="80"/>
      <c r="HY172" s="80"/>
      <c r="HZ172" s="80"/>
      <c r="IA172" s="80"/>
      <c r="IB172" s="80"/>
      <c r="IC172" s="80"/>
      <c r="ID172" s="80"/>
      <c r="IE172" s="80"/>
      <c r="IF172" s="80"/>
      <c r="IG172" s="80"/>
      <c r="IH172" s="80"/>
      <c r="II172" s="80"/>
      <c r="IJ172" s="80"/>
      <c r="IK172" s="80"/>
      <c r="IL172" s="80"/>
      <c r="IM172" s="80"/>
      <c r="IN172" s="80"/>
      <c r="IO172" s="80"/>
      <c r="IP172" s="80"/>
      <c r="IQ172" s="80"/>
      <c r="IR172" s="80"/>
      <c r="IS172" s="80"/>
      <c r="IT172" s="80"/>
      <c r="IU172" s="80"/>
      <c r="IV172" s="80"/>
    </row>
    <row r="173" spans="1:22" ht="12.75">
      <c r="A173" s="232" t="s">
        <v>325</v>
      </c>
      <c r="B173" s="175">
        <f>+B3</f>
        <v>37256</v>
      </c>
      <c r="C173" s="176"/>
      <c r="D173" s="175">
        <f>+D3</f>
        <v>37621</v>
      </c>
      <c r="E173" s="176"/>
      <c r="F173" s="175">
        <f>+F3</f>
        <v>37986</v>
      </c>
      <c r="G173" s="176"/>
      <c r="H173" s="175">
        <f>+H3</f>
        <v>38352</v>
      </c>
      <c r="I173" s="176"/>
      <c r="J173" s="175">
        <f>+J3</f>
        <v>38717</v>
      </c>
      <c r="K173" s="176"/>
      <c r="L173" s="175">
        <f>+L3</f>
        <v>39082</v>
      </c>
      <c r="M173" s="176"/>
      <c r="N173" s="175">
        <f>+N3</f>
        <v>39447</v>
      </c>
      <c r="O173" s="176"/>
      <c r="P173" s="175">
        <f>+P3</f>
        <v>39813</v>
      </c>
      <c r="Q173" s="176"/>
      <c r="R173" s="175">
        <f>+R3</f>
        <v>40178</v>
      </c>
      <c r="S173" s="176"/>
      <c r="T173" s="175">
        <f>+T3</f>
        <v>40543</v>
      </c>
      <c r="U173" s="176"/>
      <c r="V173" s="80"/>
    </row>
    <row r="174" spans="1:22" ht="12.75">
      <c r="A174" s="177" t="s">
        <v>94</v>
      </c>
      <c r="B174" s="142" t="s">
        <v>4</v>
      </c>
      <c r="C174" s="142" t="s">
        <v>5</v>
      </c>
      <c r="D174" s="142" t="s">
        <v>4</v>
      </c>
      <c r="E174" s="142" t="s">
        <v>5</v>
      </c>
      <c r="F174" s="142" t="s">
        <v>4</v>
      </c>
      <c r="G174" s="142" t="s">
        <v>5</v>
      </c>
      <c r="H174" s="142" t="s">
        <v>4</v>
      </c>
      <c r="I174" s="142" t="s">
        <v>5</v>
      </c>
      <c r="J174" s="142" t="s">
        <v>4</v>
      </c>
      <c r="K174" s="142" t="s">
        <v>5</v>
      </c>
      <c r="L174" s="142" t="s">
        <v>4</v>
      </c>
      <c r="M174" s="142" t="s">
        <v>5</v>
      </c>
      <c r="N174" s="142" t="s">
        <v>4</v>
      </c>
      <c r="O174" s="142" t="s">
        <v>5</v>
      </c>
      <c r="P174" s="142" t="s">
        <v>4</v>
      </c>
      <c r="Q174" s="142" t="s">
        <v>5</v>
      </c>
      <c r="R174" s="142" t="s">
        <v>4</v>
      </c>
      <c r="S174" s="142" t="s">
        <v>5</v>
      </c>
      <c r="T174" s="142" t="s">
        <v>4</v>
      </c>
      <c r="U174" s="142" t="s">
        <v>5</v>
      </c>
      <c r="V174" s="80"/>
    </row>
    <row r="175" spans="1:22" ht="12.75">
      <c r="A175" s="157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80"/>
    </row>
    <row r="176" spans="1:22" ht="12.75">
      <c r="A176" s="81" t="s">
        <v>95</v>
      </c>
      <c r="B176" s="86">
        <f>+B121</f>
        <v>3955</v>
      </c>
      <c r="C176" s="81"/>
      <c r="D176" s="86">
        <f>+D121</f>
        <v>4571</v>
      </c>
      <c r="E176" s="81"/>
      <c r="F176" s="86">
        <f>+F121</f>
        <v>4676</v>
      </c>
      <c r="G176" s="81"/>
      <c r="H176" s="86">
        <f>+H121</f>
        <v>4766</v>
      </c>
      <c r="I176" s="81"/>
      <c r="J176" s="86">
        <f>+J121</f>
        <v>4328</v>
      </c>
      <c r="K176" s="81"/>
      <c r="L176" s="86">
        <f>+L121</f>
        <v>4110</v>
      </c>
      <c r="M176" s="81"/>
      <c r="N176" s="86">
        <f>+N121</f>
        <v>5001</v>
      </c>
      <c r="O176" s="81"/>
      <c r="P176" s="86">
        <f>+P121</f>
        <v>4480</v>
      </c>
      <c r="Q176" s="81"/>
      <c r="R176" s="86">
        <f>+R121</f>
        <v>4055</v>
      </c>
      <c r="S176" s="81"/>
      <c r="T176" s="86">
        <f>+T121</f>
        <v>-159</v>
      </c>
      <c r="U176" s="81"/>
      <c r="V176" s="80"/>
    </row>
    <row r="177" spans="1:22" ht="12.75">
      <c r="A177" s="191" t="s">
        <v>96</v>
      </c>
      <c r="B177" s="192">
        <f>+B130+B131+B135+B136+B142+B143+B144+B153+B155</f>
        <v>979</v>
      </c>
      <c r="C177" s="81"/>
      <c r="D177" s="192">
        <f>+D130+D131+D135+D136+D142+D143+D144+D153+D155</f>
        <v>-117</v>
      </c>
      <c r="E177" s="81"/>
      <c r="F177" s="192">
        <f>+F130+F131+F135+F136+F142+F143+F144+F153+F155</f>
        <v>-308</v>
      </c>
      <c r="G177" s="81"/>
      <c r="H177" s="192">
        <f>+H130+H131+H135+H136+H142+H143+H144+H153+H155</f>
        <v>-506</v>
      </c>
      <c r="I177" s="81"/>
      <c r="J177" s="192">
        <f>+J130+J131+J135+J136+J142+J143+J144+J153+J155</f>
        <v>244</v>
      </c>
      <c r="K177" s="81"/>
      <c r="L177" s="192">
        <f>+L130+L131+L135+L136+L142+L143+L144+L153+L155</f>
        <v>-187</v>
      </c>
      <c r="M177" s="81"/>
      <c r="N177" s="192">
        <f>+N130+N131+N135+N136+N142+N143+N144+N153+N155</f>
        <v>-153</v>
      </c>
      <c r="O177" s="81"/>
      <c r="P177" s="192">
        <f>+P130+P131+P135+P136+P142+P143+P144+P153+P155</f>
        <v>-49</v>
      </c>
      <c r="Q177" s="81"/>
      <c r="R177" s="192">
        <f>+R130+R131+R135+R136+R142+R143+R144+R153+R155</f>
        <v>-75</v>
      </c>
      <c r="S177" s="81"/>
      <c r="T177" s="192">
        <f>+T130+T131+T135+T136+T142+T143+T144+T153+T155</f>
        <v>-870</v>
      </c>
      <c r="U177" s="81"/>
      <c r="V177" s="80"/>
    </row>
    <row r="178" spans="1:22" ht="12.75">
      <c r="A178" s="88" t="s">
        <v>97</v>
      </c>
      <c r="B178" s="86">
        <f>+B176+B177</f>
        <v>4934</v>
      </c>
      <c r="C178" s="140">
        <f>+B178/B178</f>
        <v>1</v>
      </c>
      <c r="D178" s="86">
        <f>+D176+D177</f>
        <v>4454</v>
      </c>
      <c r="E178" s="140">
        <f>+D178/D178</f>
        <v>1</v>
      </c>
      <c r="F178" s="86">
        <f>+F176+F177</f>
        <v>4368</v>
      </c>
      <c r="G178" s="140">
        <f>+F178/F178</f>
        <v>1</v>
      </c>
      <c r="H178" s="86">
        <f>+H176+H177</f>
        <v>4260</v>
      </c>
      <c r="I178" s="140">
        <f>+H178/H178</f>
        <v>1</v>
      </c>
      <c r="J178" s="86">
        <f>+J176+J177</f>
        <v>4572</v>
      </c>
      <c r="K178" s="140">
        <f>+J178/J178</f>
        <v>1</v>
      </c>
      <c r="L178" s="86">
        <f>+L176+L177</f>
        <v>3923</v>
      </c>
      <c r="M178" s="140">
        <f>+L178/L178</f>
        <v>1</v>
      </c>
      <c r="N178" s="86">
        <f>+N176+N177</f>
        <v>4848</v>
      </c>
      <c r="O178" s="140">
        <f>+N178/N178</f>
        <v>1</v>
      </c>
      <c r="P178" s="86">
        <f>+P176+P177</f>
        <v>4431</v>
      </c>
      <c r="Q178" s="140">
        <f>+P178/P178</f>
        <v>1</v>
      </c>
      <c r="R178" s="86">
        <f>+R176+R177</f>
        <v>3980</v>
      </c>
      <c r="S178" s="140">
        <f>+R178/R178</f>
        <v>1</v>
      </c>
      <c r="T178" s="86">
        <f>+T176+T177</f>
        <v>-1029</v>
      </c>
      <c r="U178" s="140">
        <f>+T178/T178</f>
        <v>1</v>
      </c>
      <c r="V178" s="80"/>
    </row>
    <row r="179" spans="1:22" ht="12.75">
      <c r="A179" s="81" t="s">
        <v>98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0"/>
    </row>
    <row r="180" spans="1:22" ht="12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0"/>
    </row>
    <row r="181" spans="1:22" ht="12.75">
      <c r="A181" s="81" t="s">
        <v>99</v>
      </c>
      <c r="B181" s="86">
        <f>-B122</f>
        <v>2671</v>
      </c>
      <c r="C181" s="140">
        <f>+B181/B190</f>
        <v>0.5413457640859344</v>
      </c>
      <c r="D181" s="86">
        <f>-D122</f>
        <v>2510</v>
      </c>
      <c r="E181" s="140">
        <f>+D181/D190</f>
        <v>0.5635383924562192</v>
      </c>
      <c r="F181" s="86">
        <f>-F122</f>
        <v>2430</v>
      </c>
      <c r="G181" s="140">
        <f>+F181/F190</f>
        <v>0.5563186813186813</v>
      </c>
      <c r="H181" s="86">
        <f>-H122</f>
        <v>2489</v>
      </c>
      <c r="I181" s="140">
        <f>+H181/H190</f>
        <v>0.5842723004694835</v>
      </c>
      <c r="J181" s="86">
        <f>-J122</f>
        <v>2477</v>
      </c>
      <c r="K181" s="140">
        <f>+J181/J190</f>
        <v>0.5417760279965005</v>
      </c>
      <c r="L181" s="86">
        <f>-L122</f>
        <v>2504</v>
      </c>
      <c r="M181" s="140">
        <f>+L181/L190</f>
        <v>0.638287025235789</v>
      </c>
      <c r="N181" s="86">
        <f>-N122</f>
        <v>2838</v>
      </c>
      <c r="O181" s="140">
        <f>+N181/N190</f>
        <v>0.5853960396039604</v>
      </c>
      <c r="P181" s="86">
        <f>-P122</f>
        <v>3037</v>
      </c>
      <c r="Q181" s="140">
        <f>+P181/P190</f>
        <v>0.685398329948093</v>
      </c>
      <c r="R181" s="86">
        <f>-R122</f>
        <v>2866</v>
      </c>
      <c r="S181" s="140">
        <f>+R181/R190</f>
        <v>0.7201005025125629</v>
      </c>
      <c r="T181" s="86">
        <f>-T122</f>
        <v>2835</v>
      </c>
      <c r="U181" s="140">
        <f>+T181/T190</f>
        <v>-2.7551020408163267</v>
      </c>
      <c r="V181" s="80"/>
    </row>
    <row r="182" spans="1:22" ht="12.75">
      <c r="A182" s="81" t="s">
        <v>100</v>
      </c>
      <c r="B182" s="86">
        <f>-B147-B148</f>
        <v>79</v>
      </c>
      <c r="C182" s="140">
        <f>+B182/B190</f>
        <v>0.016011349817592217</v>
      </c>
      <c r="D182" s="86">
        <f>-D147-D148</f>
        <v>118</v>
      </c>
      <c r="E182" s="140">
        <f>+D182/D190</f>
        <v>0.026493039964077234</v>
      </c>
      <c r="F182" s="86">
        <f>-F147-F148</f>
        <v>139</v>
      </c>
      <c r="G182" s="140">
        <f>+F182/F190</f>
        <v>0.03182234432234432</v>
      </c>
      <c r="H182" s="86">
        <f>-H147-H148</f>
        <v>140</v>
      </c>
      <c r="I182" s="140">
        <f>+H182/H190</f>
        <v>0.03286384976525822</v>
      </c>
      <c r="J182" s="86">
        <f>-J147-J148</f>
        <v>121</v>
      </c>
      <c r="K182" s="140">
        <f>+J182/J190</f>
        <v>0.026465441819772527</v>
      </c>
      <c r="L182" s="86">
        <f>-L147-L148</f>
        <v>100</v>
      </c>
      <c r="M182" s="140">
        <f>+L182/L190</f>
        <v>0.02549069589599796</v>
      </c>
      <c r="N182" s="86">
        <f>-N147-N148</f>
        <v>142</v>
      </c>
      <c r="O182" s="140">
        <f>+N182/N190</f>
        <v>0.02929042904290429</v>
      </c>
      <c r="P182" s="86">
        <f>-P147-P148</f>
        <v>98</v>
      </c>
      <c r="Q182" s="140">
        <f>+P182/P190</f>
        <v>0.022116903633491312</v>
      </c>
      <c r="R182" s="86">
        <f>-R147-R148</f>
        <v>79</v>
      </c>
      <c r="S182" s="140">
        <f>+R182/R190</f>
        <v>0.01984924623115578</v>
      </c>
      <c r="T182" s="86">
        <f>-T147-T148</f>
        <v>0</v>
      </c>
      <c r="U182" s="140">
        <f>+T182/T190</f>
        <v>0</v>
      </c>
      <c r="V182" s="80"/>
    </row>
    <row r="183" spans="1:22" ht="12.75">
      <c r="A183" s="81" t="s">
        <v>101</v>
      </c>
      <c r="B183" s="86">
        <f>-B139</f>
        <v>413</v>
      </c>
      <c r="C183" s="140">
        <f>+B183/B190</f>
        <v>0.08370490474260235</v>
      </c>
      <c r="D183" s="86">
        <f>-D139</f>
        <v>294</v>
      </c>
      <c r="E183" s="140">
        <f>+D183/D190</f>
        <v>0.06600808262236192</v>
      </c>
      <c r="F183" s="86">
        <f>-F139</f>
        <v>422</v>
      </c>
      <c r="G183" s="140">
        <f>+F183/F190</f>
        <v>0.09661172161172162</v>
      </c>
      <c r="H183" s="86">
        <f>-H139</f>
        <v>295</v>
      </c>
      <c r="I183" s="140">
        <f>+H183/H190</f>
        <v>0.06924882629107981</v>
      </c>
      <c r="J183" s="86">
        <f>-J139</f>
        <v>312</v>
      </c>
      <c r="K183" s="140">
        <f>+J183/J190</f>
        <v>0.06824146981627296</v>
      </c>
      <c r="L183" s="86">
        <f>-L139</f>
        <v>420</v>
      </c>
      <c r="M183" s="140">
        <f>+L183/L190</f>
        <v>0.10706092276319143</v>
      </c>
      <c r="N183" s="86">
        <f>-N139</f>
        <v>585</v>
      </c>
      <c r="O183" s="140">
        <f>+N183/N190</f>
        <v>0.12066831683168316</v>
      </c>
      <c r="P183" s="86">
        <f>-P139</f>
        <v>725</v>
      </c>
      <c r="Q183" s="140">
        <f>+P183/P190</f>
        <v>0.16361995034980817</v>
      </c>
      <c r="R183" s="86">
        <f>-R139</f>
        <v>566</v>
      </c>
      <c r="S183" s="140">
        <f>+R183/R190</f>
        <v>0.14221105527638192</v>
      </c>
      <c r="T183" s="86">
        <f>-T139</f>
        <v>674</v>
      </c>
      <c r="U183" s="140">
        <f>+T183/T190</f>
        <v>-0.6550048590864918</v>
      </c>
      <c r="V183" s="80"/>
    </row>
    <row r="184" spans="1:22" ht="12.75">
      <c r="A184" s="81" t="s">
        <v>102</v>
      </c>
      <c r="B184" s="86">
        <f>-B66</f>
        <v>0</v>
      </c>
      <c r="C184" s="140">
        <f>+B184/B190</f>
        <v>0</v>
      </c>
      <c r="D184" s="86">
        <f>-D66</f>
        <v>0</v>
      </c>
      <c r="E184" s="140">
        <f>+D184/D190</f>
        <v>0</v>
      </c>
      <c r="F184" s="86">
        <f>-F66</f>
        <v>0</v>
      </c>
      <c r="G184" s="140">
        <f>+F184/F190</f>
        <v>0</v>
      </c>
      <c r="H184" s="86">
        <f>-H66</f>
        <v>0</v>
      </c>
      <c r="I184" s="140">
        <f>+H184/H190</f>
        <v>0</v>
      </c>
      <c r="J184" s="86">
        <f>-J66</f>
        <v>0</v>
      </c>
      <c r="K184" s="140">
        <f>+J184/J190</f>
        <v>0</v>
      </c>
      <c r="L184" s="86">
        <f>-L66</f>
        <v>0</v>
      </c>
      <c r="M184" s="140">
        <f>+L184/L190</f>
        <v>0</v>
      </c>
      <c r="N184" s="86">
        <f>-N66</f>
        <v>0</v>
      </c>
      <c r="O184" s="140">
        <f>+N184/N190</f>
        <v>0</v>
      </c>
      <c r="P184" s="86">
        <f>-P66</f>
        <v>0</v>
      </c>
      <c r="Q184" s="140">
        <f>+P184/P190</f>
        <v>0</v>
      </c>
      <c r="R184" s="86">
        <f>-R66</f>
        <v>0</v>
      </c>
      <c r="S184" s="140">
        <f>+R184/R190</f>
        <v>0</v>
      </c>
      <c r="T184" s="86">
        <f>-T66</f>
        <v>0</v>
      </c>
      <c r="U184" s="140">
        <f>+T184/T190</f>
        <v>0</v>
      </c>
      <c r="V184" s="80"/>
    </row>
    <row r="185" spans="1:22" ht="12.75">
      <c r="A185" s="81" t="s">
        <v>103</v>
      </c>
      <c r="B185" s="86">
        <f>SUM(B187:B189)</f>
        <v>1771</v>
      </c>
      <c r="C185" s="140">
        <f>+B185/B190</f>
        <v>0.3589379813538711</v>
      </c>
      <c r="D185" s="86">
        <f>SUM(D187:D189)</f>
        <v>1532</v>
      </c>
      <c r="E185" s="140">
        <f>+D185/D190</f>
        <v>0.3439604849573417</v>
      </c>
      <c r="F185" s="86">
        <f>SUM(F187:F189)</f>
        <v>1377</v>
      </c>
      <c r="G185" s="140">
        <f>+F185/F190</f>
        <v>0.31524725274725274</v>
      </c>
      <c r="H185" s="86">
        <f>SUM(H187:H189)</f>
        <v>1336</v>
      </c>
      <c r="I185" s="140">
        <f>+H185/H190</f>
        <v>0.3136150234741784</v>
      </c>
      <c r="J185" s="86">
        <f>SUM(J187:J189)</f>
        <v>1662</v>
      </c>
      <c r="K185" s="140">
        <f>+J185/J190</f>
        <v>0.36351706036745407</v>
      </c>
      <c r="L185" s="86">
        <f>SUM(L187:L189)</f>
        <v>899</v>
      </c>
      <c r="M185" s="140">
        <f>+L185/L190</f>
        <v>0.22916135610502167</v>
      </c>
      <c r="N185" s="86">
        <f>SUM(N187:N189)</f>
        <v>1283</v>
      </c>
      <c r="O185" s="140">
        <f>+N185/N190</f>
        <v>0.2646452145214521</v>
      </c>
      <c r="P185" s="86">
        <f>SUM(P187:P189)</f>
        <v>571</v>
      </c>
      <c r="Q185" s="140">
        <f>+P185/P190</f>
        <v>0.12886481606860753</v>
      </c>
      <c r="R185" s="86">
        <f>SUM(R187:R189)</f>
        <v>469</v>
      </c>
      <c r="S185" s="140">
        <f>+R185/R190</f>
        <v>0.1178391959798995</v>
      </c>
      <c r="T185" s="86">
        <f>SUM(T187:T189)</f>
        <v>-4538</v>
      </c>
      <c r="U185" s="140">
        <f>+T185/T190</f>
        <v>4.410106899902818</v>
      </c>
      <c r="V185" s="80"/>
    </row>
    <row r="186" spans="1:22" ht="12.75">
      <c r="A186" s="81"/>
      <c r="B186" s="122"/>
      <c r="C186" s="81"/>
      <c r="D186" s="122"/>
      <c r="E186" s="81"/>
      <c r="F186" s="122"/>
      <c r="G186" s="81"/>
      <c r="H186" s="122"/>
      <c r="I186" s="81"/>
      <c r="J186" s="122"/>
      <c r="K186" s="81"/>
      <c r="L186" s="122"/>
      <c r="M186" s="81"/>
      <c r="N186" s="122"/>
      <c r="O186" s="81"/>
      <c r="P186" s="122"/>
      <c r="Q186" s="81"/>
      <c r="R186" s="122"/>
      <c r="S186" s="81"/>
      <c r="T186" s="122"/>
      <c r="U186" s="81"/>
      <c r="V186" s="80"/>
    </row>
    <row r="187" spans="1:22" ht="12.75">
      <c r="A187" s="81" t="s">
        <v>104</v>
      </c>
      <c r="B187" s="86">
        <f>-B125-B132-B151</f>
        <v>1742</v>
      </c>
      <c r="C187" s="81"/>
      <c r="D187" s="86">
        <f>-D125-D132-D151</f>
        <v>1496</v>
      </c>
      <c r="E187" s="81"/>
      <c r="F187" s="86">
        <f>-F125-F132-F151</f>
        <v>1479</v>
      </c>
      <c r="G187" s="81"/>
      <c r="H187" s="86">
        <f>-H125-H132-H151</f>
        <v>1527</v>
      </c>
      <c r="I187" s="81"/>
      <c r="J187" s="86">
        <f>-J125-J132-J151</f>
        <v>1715</v>
      </c>
      <c r="K187" s="81"/>
      <c r="L187" s="86">
        <f>-L125-L132-L151</f>
        <v>1871</v>
      </c>
      <c r="M187" s="81"/>
      <c r="N187" s="86">
        <f>-N125-N132-N151</f>
        <v>1226</v>
      </c>
      <c r="O187" s="81"/>
      <c r="P187" s="86">
        <f>-P125-P132-P151</f>
        <v>1115</v>
      </c>
      <c r="Q187" s="81"/>
      <c r="R187" s="86">
        <f>-R125-R132-R151</f>
        <v>1233</v>
      </c>
      <c r="S187" s="81"/>
      <c r="T187" s="86">
        <f>-T125-T132-T151</f>
        <v>1213</v>
      </c>
      <c r="U187" s="81"/>
      <c r="V187" s="80"/>
    </row>
    <row r="188" spans="1:22" ht="12.75">
      <c r="A188" s="81" t="s">
        <v>105</v>
      </c>
      <c r="B188" s="86">
        <f>-B126-B127-B154-B152</f>
        <v>0</v>
      </c>
      <c r="C188" s="81"/>
      <c r="D188" s="86">
        <f>-D126-D127-D154-D152</f>
        <v>0</v>
      </c>
      <c r="E188" s="81"/>
      <c r="F188" s="86">
        <f>-F126-F127-F154-F152</f>
        <v>0</v>
      </c>
      <c r="G188" s="81"/>
      <c r="H188" s="86">
        <f>-H126-H127-H154-H152</f>
        <v>0</v>
      </c>
      <c r="I188" s="81"/>
      <c r="J188" s="86">
        <f>-J126-J127-J154-J152</f>
        <v>0</v>
      </c>
      <c r="K188" s="81"/>
      <c r="L188" s="86">
        <f>-L126-L127-L154-L152</f>
        <v>0</v>
      </c>
      <c r="M188" s="81"/>
      <c r="N188" s="86">
        <f>-N126-N127-N154-N152</f>
        <v>0</v>
      </c>
      <c r="O188" s="81"/>
      <c r="P188" s="86">
        <f>-P126-P127-P154-P152</f>
        <v>0</v>
      </c>
      <c r="Q188" s="81"/>
      <c r="R188" s="86">
        <f>-R126-R127-R154-R152</f>
        <v>0</v>
      </c>
      <c r="S188" s="81"/>
      <c r="T188" s="86">
        <f>-T126-T127-T154-T152</f>
        <v>4493</v>
      </c>
      <c r="U188" s="81"/>
      <c r="V188" s="80"/>
    </row>
    <row r="189" spans="1:22" ht="12.75">
      <c r="A189" s="81" t="s">
        <v>106</v>
      </c>
      <c r="B189" s="192">
        <f>+B68</f>
        <v>29</v>
      </c>
      <c r="C189" s="81"/>
      <c r="D189" s="192">
        <f>+D68</f>
        <v>36</v>
      </c>
      <c r="E189" s="81"/>
      <c r="F189" s="192">
        <f>+F68</f>
        <v>-102</v>
      </c>
      <c r="G189" s="81"/>
      <c r="H189" s="192">
        <f>+H68</f>
        <v>-191</v>
      </c>
      <c r="I189" s="81"/>
      <c r="J189" s="192">
        <f>+J68</f>
        <v>-53</v>
      </c>
      <c r="K189" s="81"/>
      <c r="L189" s="192">
        <f>+L68</f>
        <v>-972</v>
      </c>
      <c r="M189" s="81"/>
      <c r="N189" s="192">
        <f>+N68</f>
        <v>57</v>
      </c>
      <c r="O189" s="81"/>
      <c r="P189" s="192">
        <f>+P68</f>
        <v>-544</v>
      </c>
      <c r="Q189" s="81"/>
      <c r="R189" s="192">
        <f>+R68</f>
        <v>-764</v>
      </c>
      <c r="S189" s="81"/>
      <c r="T189" s="192">
        <f>+T68</f>
        <v>-10244</v>
      </c>
      <c r="U189" s="81"/>
      <c r="V189" s="80"/>
    </row>
    <row r="190" spans="1:22" ht="12.75">
      <c r="A190" s="88" t="s">
        <v>107</v>
      </c>
      <c r="B190" s="86">
        <f>SUM(B181:B185)</f>
        <v>4934</v>
      </c>
      <c r="C190" s="140">
        <f>+B190/B190</f>
        <v>1</v>
      </c>
      <c r="D190" s="86">
        <f>SUM(D181:D185)</f>
        <v>4454</v>
      </c>
      <c r="E190" s="140">
        <f>+D190/D190</f>
        <v>1</v>
      </c>
      <c r="F190" s="86">
        <f>SUM(F181:F185)</f>
        <v>4368</v>
      </c>
      <c r="G190" s="140">
        <f>+F190/F190</f>
        <v>1</v>
      </c>
      <c r="H190" s="86">
        <f>SUM(H181:H185)</f>
        <v>4260</v>
      </c>
      <c r="I190" s="140">
        <f>+H190/H190</f>
        <v>1</v>
      </c>
      <c r="J190" s="86">
        <f>SUM(J181:J185)</f>
        <v>4572</v>
      </c>
      <c r="K190" s="140">
        <f>+J190/J190</f>
        <v>1</v>
      </c>
      <c r="L190" s="86">
        <f>SUM(L181:L185)</f>
        <v>3923</v>
      </c>
      <c r="M190" s="140">
        <f>+L190/L190</f>
        <v>1</v>
      </c>
      <c r="N190" s="86">
        <f>SUM(N181:N185)</f>
        <v>4848</v>
      </c>
      <c r="O190" s="140">
        <f>+N190/N190</f>
        <v>1</v>
      </c>
      <c r="P190" s="86">
        <f>SUM(P181:P185)</f>
        <v>4431</v>
      </c>
      <c r="Q190" s="140">
        <f>+P190/P190</f>
        <v>1</v>
      </c>
      <c r="R190" s="86">
        <f>SUM(R181:R185)</f>
        <v>3980</v>
      </c>
      <c r="S190" s="140">
        <f>+R190/R190</f>
        <v>1</v>
      </c>
      <c r="T190" s="86">
        <f>SUM(T181:T185)</f>
        <v>-1029</v>
      </c>
      <c r="U190" s="140">
        <f>+T190/T190</f>
        <v>1</v>
      </c>
      <c r="V190" s="80"/>
    </row>
    <row r="191" spans="1:22" ht="12.7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0"/>
    </row>
    <row r="192" spans="1:22" ht="12.75">
      <c r="A192" s="81" t="s">
        <v>108</v>
      </c>
      <c r="B192" s="136">
        <f>+B176*0.19</f>
        <v>751.45</v>
      </c>
      <c r="C192" s="81"/>
      <c r="D192" s="136">
        <f>+D176*0.19</f>
        <v>868.49</v>
      </c>
      <c r="E192" s="81"/>
      <c r="F192" s="136">
        <f>+F176*0.19</f>
        <v>888.44</v>
      </c>
      <c r="G192" s="81"/>
      <c r="H192" s="136">
        <f>+H176*0.19</f>
        <v>905.54</v>
      </c>
      <c r="I192" s="81"/>
      <c r="J192" s="136">
        <f>+J176*0.19</f>
        <v>822.32</v>
      </c>
      <c r="K192" s="81"/>
      <c r="L192" s="136">
        <f>+L176*0.19</f>
        <v>780.9</v>
      </c>
      <c r="M192" s="81"/>
      <c r="N192" s="136">
        <f>+N176*0.19</f>
        <v>950.19</v>
      </c>
      <c r="O192" s="81"/>
      <c r="P192" s="136">
        <f>+P176*0.19</f>
        <v>851.2</v>
      </c>
      <c r="Q192" s="81"/>
      <c r="R192" s="136">
        <f>+R176*0.19</f>
        <v>770.45</v>
      </c>
      <c r="S192" s="106"/>
      <c r="T192" s="181">
        <f>+T176*0.19</f>
        <v>-30.21</v>
      </c>
      <c r="U192" s="81"/>
      <c r="V192" s="80"/>
    </row>
    <row r="193" spans="1:22" ht="12.7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0"/>
    </row>
    <row r="194" spans="1:22" ht="13.5" thickBot="1">
      <c r="A194" s="81" t="s">
        <v>109</v>
      </c>
      <c r="B194" s="193">
        <f>+B178+B192</f>
        <v>5685.45</v>
      </c>
      <c r="C194" s="140">
        <f>+B194/B194</f>
        <v>1</v>
      </c>
      <c r="D194" s="193">
        <f>+D178+D192</f>
        <v>5322.49</v>
      </c>
      <c r="E194" s="140">
        <f>+D194/D194</f>
        <v>1</v>
      </c>
      <c r="F194" s="193">
        <f>+F178+F192</f>
        <v>5256.4400000000005</v>
      </c>
      <c r="G194" s="140">
        <f>+F194/F194</f>
        <v>1</v>
      </c>
      <c r="H194" s="193">
        <f>+H178+H192</f>
        <v>5165.54</v>
      </c>
      <c r="I194" s="140">
        <f>+H194/H194</f>
        <v>1</v>
      </c>
      <c r="J194" s="193">
        <f>+J178+J192</f>
        <v>5394.32</v>
      </c>
      <c r="K194" s="140">
        <f>+J194/J194</f>
        <v>1</v>
      </c>
      <c r="L194" s="193">
        <f>+L178+L192</f>
        <v>4703.9</v>
      </c>
      <c r="M194" s="140">
        <f>+L194/L194</f>
        <v>1</v>
      </c>
      <c r="N194" s="193">
        <f>+N178+N192</f>
        <v>5798.1900000000005</v>
      </c>
      <c r="O194" s="140">
        <f>+N194/N194</f>
        <v>1</v>
      </c>
      <c r="P194" s="193">
        <f>+P178+P192</f>
        <v>5282.2</v>
      </c>
      <c r="Q194" s="140">
        <f>+P194/P194</f>
        <v>1</v>
      </c>
      <c r="R194" s="193">
        <f>+R178+R192</f>
        <v>4750.45</v>
      </c>
      <c r="S194" s="140">
        <f>+R194/R194</f>
        <v>1</v>
      </c>
      <c r="T194" s="193">
        <f>+T178+T192</f>
        <v>-1059.21</v>
      </c>
      <c r="U194" s="140">
        <f>+T194/T194</f>
        <v>1</v>
      </c>
      <c r="V194" s="80"/>
    </row>
    <row r="195" spans="1:22" ht="13.5" thickTop="1">
      <c r="A195" s="88" t="s">
        <v>99</v>
      </c>
      <c r="B195" s="86">
        <f>+B181</f>
        <v>2671</v>
      </c>
      <c r="C195" s="140">
        <f>+B195/B194</f>
        <v>0.4697957065843513</v>
      </c>
      <c r="D195" s="86">
        <f>+D181</f>
        <v>2510</v>
      </c>
      <c r="E195" s="140">
        <f>+D195/D194</f>
        <v>0.4715837887905849</v>
      </c>
      <c r="F195" s="86">
        <f>+F181</f>
        <v>2430</v>
      </c>
      <c r="G195" s="140">
        <f>+F195/F194</f>
        <v>0.46229006704157183</v>
      </c>
      <c r="H195" s="86">
        <f>+H181</f>
        <v>2489</v>
      </c>
      <c r="I195" s="140">
        <f>+H195/H194</f>
        <v>0.4818470092187845</v>
      </c>
      <c r="J195" s="86">
        <f>+J181</f>
        <v>2477</v>
      </c>
      <c r="K195" s="140">
        <f>+J195/J194</f>
        <v>0.4591867000845334</v>
      </c>
      <c r="L195" s="86">
        <f>+L181</f>
        <v>2504</v>
      </c>
      <c r="M195" s="140">
        <f>+L195/L194</f>
        <v>0.5323242415867685</v>
      </c>
      <c r="N195" s="86">
        <f>+N181</f>
        <v>2838</v>
      </c>
      <c r="O195" s="140">
        <f>+N195/N194</f>
        <v>0.4894630910680747</v>
      </c>
      <c r="P195" s="86">
        <f>+P181</f>
        <v>3037</v>
      </c>
      <c r="Q195" s="140">
        <f>+P195/P194</f>
        <v>0.5749498315095983</v>
      </c>
      <c r="R195" s="86">
        <f>+R181</f>
        <v>2866</v>
      </c>
      <c r="S195" s="140">
        <f>+R195/R194</f>
        <v>0.6033112652485554</v>
      </c>
      <c r="T195" s="86">
        <f>+T181</f>
        <v>2835</v>
      </c>
      <c r="U195" s="140">
        <f>+T195/T194</f>
        <v>-2.676523069079786</v>
      </c>
      <c r="V195" s="80"/>
    </row>
    <row r="196" spans="1:22" ht="12.75">
      <c r="A196" s="194" t="s">
        <v>110</v>
      </c>
      <c r="B196" s="86">
        <f>+B182+B192</f>
        <v>830.45</v>
      </c>
      <c r="C196" s="140">
        <f>+B196/B194</f>
        <v>0.14606583471844797</v>
      </c>
      <c r="D196" s="86">
        <f>+D182+D192</f>
        <v>986.49</v>
      </c>
      <c r="E196" s="140">
        <f>+D196/D194</f>
        <v>0.18534370191395383</v>
      </c>
      <c r="F196" s="86">
        <f>+F182+F192</f>
        <v>1027.44</v>
      </c>
      <c r="G196" s="140">
        <f>+F196/F194</f>
        <v>0.1954630890869105</v>
      </c>
      <c r="H196" s="86">
        <f>+H182+H192</f>
        <v>1045.54</v>
      </c>
      <c r="I196" s="140">
        <f>+H196/H194</f>
        <v>0.20240671836826352</v>
      </c>
      <c r="J196" s="86">
        <f>+J182+J192</f>
        <v>943.32</v>
      </c>
      <c r="K196" s="140">
        <f>+J196/J194</f>
        <v>0.17487282919811953</v>
      </c>
      <c r="L196" s="86">
        <f>+L182+L192</f>
        <v>880.9</v>
      </c>
      <c r="M196" s="140">
        <f>+L196/L194</f>
        <v>0.18727013754544103</v>
      </c>
      <c r="N196" s="86">
        <f>+N182+N192</f>
        <v>1092.19</v>
      </c>
      <c r="O196" s="140">
        <f>+N196/N194</f>
        <v>0.18836740431065557</v>
      </c>
      <c r="P196" s="86">
        <f>+P182+P192</f>
        <v>949.2</v>
      </c>
      <c r="Q196" s="140">
        <f>+P196/P194</f>
        <v>0.17969785316724093</v>
      </c>
      <c r="R196" s="86">
        <f>+R182+R192</f>
        <v>849.45</v>
      </c>
      <c r="S196" s="140">
        <f>+R196/R194</f>
        <v>0.17881463861318403</v>
      </c>
      <c r="T196" s="86">
        <f>+T182+T192</f>
        <v>-30.21</v>
      </c>
      <c r="U196" s="140">
        <f>+T196/T194</f>
        <v>0.02852125640807772</v>
      </c>
      <c r="V196" s="80"/>
    </row>
    <row r="197" spans="1:22" ht="12.75">
      <c r="A197" s="88" t="s">
        <v>101</v>
      </c>
      <c r="B197" s="86">
        <f>+B183</f>
        <v>413</v>
      </c>
      <c r="C197" s="140">
        <f>+B197/B194</f>
        <v>0.07264156751004758</v>
      </c>
      <c r="D197" s="86">
        <f>+D183</f>
        <v>294</v>
      </c>
      <c r="E197" s="140">
        <f>+D197/D194</f>
        <v>0.0552373043443952</v>
      </c>
      <c r="F197" s="86">
        <f>+F183</f>
        <v>422</v>
      </c>
      <c r="G197" s="140">
        <f>+F197/F194</f>
        <v>0.08028247254796021</v>
      </c>
      <c r="H197" s="86">
        <f>+H183</f>
        <v>295</v>
      </c>
      <c r="I197" s="140">
        <f>+H197/H194</f>
        <v>0.057109227689651036</v>
      </c>
      <c r="J197" s="86">
        <f>+J183</f>
        <v>312</v>
      </c>
      <c r="K197" s="140">
        <f>+J197/J194</f>
        <v>0.057838615432529036</v>
      </c>
      <c r="L197" s="86">
        <f>+L183</f>
        <v>420</v>
      </c>
      <c r="M197" s="140">
        <f>+L197/L194</f>
        <v>0.08928761240672634</v>
      </c>
      <c r="N197" s="86">
        <f>+N183</f>
        <v>585</v>
      </c>
      <c r="O197" s="140">
        <f>+N197/N194</f>
        <v>0.1008935547127638</v>
      </c>
      <c r="P197" s="86">
        <f>+P183</f>
        <v>725</v>
      </c>
      <c r="Q197" s="140">
        <f>+P197/P194</f>
        <v>0.13725341713679906</v>
      </c>
      <c r="R197" s="86">
        <f>+R183</f>
        <v>566</v>
      </c>
      <c r="S197" s="140">
        <f>+R197/R194</f>
        <v>0.11914660716353188</v>
      </c>
      <c r="T197" s="86">
        <f>+T183</f>
        <v>674</v>
      </c>
      <c r="U197" s="140">
        <f>+T197/T194</f>
        <v>-0.636323297551949</v>
      </c>
      <c r="V197" s="80"/>
    </row>
    <row r="198" spans="1:22" ht="12.75">
      <c r="A198" s="88" t="s">
        <v>102</v>
      </c>
      <c r="B198" s="86">
        <f>+B184</f>
        <v>0</v>
      </c>
      <c r="C198" s="140">
        <f>+B198/B194</f>
        <v>0</v>
      </c>
      <c r="D198" s="86">
        <f>+D184</f>
        <v>0</v>
      </c>
      <c r="E198" s="140">
        <f>+D198/D194</f>
        <v>0</v>
      </c>
      <c r="F198" s="86">
        <f>+F184</f>
        <v>0</v>
      </c>
      <c r="G198" s="140">
        <f>+F198/F194</f>
        <v>0</v>
      </c>
      <c r="H198" s="86">
        <f>+H184</f>
        <v>0</v>
      </c>
      <c r="I198" s="140">
        <f>+H198/H194</f>
        <v>0</v>
      </c>
      <c r="J198" s="86">
        <f>+J184</f>
        <v>0</v>
      </c>
      <c r="K198" s="140">
        <f>+J198/J194</f>
        <v>0</v>
      </c>
      <c r="L198" s="86">
        <f>+L184</f>
        <v>0</v>
      </c>
      <c r="M198" s="140">
        <f>+L198/L194</f>
        <v>0</v>
      </c>
      <c r="N198" s="86">
        <f>+N184</f>
        <v>0</v>
      </c>
      <c r="O198" s="140">
        <f>+N198/N194</f>
        <v>0</v>
      </c>
      <c r="P198" s="86">
        <f>+P184</f>
        <v>0</v>
      </c>
      <c r="Q198" s="140">
        <f>+P198/P194</f>
        <v>0</v>
      </c>
      <c r="R198" s="86">
        <f>+R184</f>
        <v>0</v>
      </c>
      <c r="S198" s="140">
        <f>+R198/R194</f>
        <v>0</v>
      </c>
      <c r="T198" s="86">
        <f>+T184</f>
        <v>0</v>
      </c>
      <c r="U198" s="140">
        <f>+T198/T194</f>
        <v>0</v>
      </c>
      <c r="V198" s="80"/>
    </row>
    <row r="199" spans="1:22" ht="12.75">
      <c r="A199" s="195" t="s">
        <v>111</v>
      </c>
      <c r="B199" s="192">
        <f>+B185</f>
        <v>1771</v>
      </c>
      <c r="C199" s="152">
        <f>+B199/B194</f>
        <v>0.3114968911871532</v>
      </c>
      <c r="D199" s="192">
        <f>+D185</f>
        <v>1532</v>
      </c>
      <c r="E199" s="152">
        <f>+D199/D194</f>
        <v>0.2878352049510661</v>
      </c>
      <c r="F199" s="192">
        <f>+F185</f>
        <v>1377</v>
      </c>
      <c r="G199" s="152">
        <f>+F199/F194</f>
        <v>0.2619643713235574</v>
      </c>
      <c r="H199" s="192">
        <f>+H185</f>
        <v>1336</v>
      </c>
      <c r="I199" s="152">
        <f>+H199/H194</f>
        <v>0.25863704472330096</v>
      </c>
      <c r="J199" s="192">
        <f>+J185</f>
        <v>1662</v>
      </c>
      <c r="K199" s="152">
        <f>+J199/J194</f>
        <v>0.30810185528481815</v>
      </c>
      <c r="L199" s="192">
        <f>+L185</f>
        <v>899</v>
      </c>
      <c r="M199" s="152">
        <f>+L199/L194</f>
        <v>0.19111800846106425</v>
      </c>
      <c r="N199" s="192">
        <f>+N185</f>
        <v>1283</v>
      </c>
      <c r="O199" s="152">
        <f>+N199/N194</f>
        <v>0.2212759499085059</v>
      </c>
      <c r="P199" s="192">
        <f>+P185</f>
        <v>571</v>
      </c>
      <c r="Q199" s="152">
        <f>+P199/P194</f>
        <v>0.10809889818636174</v>
      </c>
      <c r="R199" s="192">
        <f>+R185</f>
        <v>469</v>
      </c>
      <c r="S199" s="152">
        <f>+R199/R194</f>
        <v>0.09872748897472872</v>
      </c>
      <c r="T199" s="192">
        <f>+T185</f>
        <v>-4538</v>
      </c>
      <c r="U199" s="152">
        <f>+T199/T194</f>
        <v>4.284325110223657</v>
      </c>
      <c r="V199" s="80"/>
    </row>
    <row r="200" spans="1:22" ht="12.75">
      <c r="A200" s="196"/>
      <c r="B200" s="197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03"/>
      <c r="V200" s="80"/>
    </row>
    <row r="201" spans="1:22" ht="12.75">
      <c r="A201" s="199" t="s">
        <v>112</v>
      </c>
      <c r="B201" s="200" t="s">
        <v>298</v>
      </c>
      <c r="C201" s="97"/>
      <c r="D201" s="200" t="s">
        <v>298</v>
      </c>
      <c r="E201" s="97"/>
      <c r="F201" s="200" t="s">
        <v>298</v>
      </c>
      <c r="G201" s="97"/>
      <c r="H201" s="200" t="s">
        <v>298</v>
      </c>
      <c r="I201" s="97"/>
      <c r="J201" s="97">
        <v>64</v>
      </c>
      <c r="K201" s="97"/>
      <c r="L201" s="97">
        <v>96</v>
      </c>
      <c r="M201" s="97"/>
      <c r="N201" s="97">
        <v>118</v>
      </c>
      <c r="O201" s="97"/>
      <c r="P201" s="97">
        <v>161</v>
      </c>
      <c r="Q201" s="97"/>
      <c r="R201" s="97">
        <v>179</v>
      </c>
      <c r="S201" s="97"/>
      <c r="T201" s="200" t="s">
        <v>298</v>
      </c>
      <c r="U201" s="122"/>
      <c r="V201" s="80"/>
    </row>
    <row r="202" spans="1:22" ht="12.7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</row>
    <row r="203" spans="1:22" ht="12.75">
      <c r="A203" s="80"/>
      <c r="B203" s="80"/>
      <c r="C203" s="80"/>
      <c r="D203" s="201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</row>
    <row r="204" spans="1:22" ht="12.75">
      <c r="A204" s="202"/>
      <c r="B204" s="80"/>
      <c r="C204" s="80"/>
      <c r="D204" s="20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</row>
    <row r="205" spans="1:22" ht="12.7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</row>
    <row r="206" spans="1:22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</row>
    <row r="207" spans="1:22" ht="12.7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</row>
    <row r="208" spans="2:20" ht="12.75">
      <c r="B208" s="20"/>
      <c r="D208" s="20"/>
      <c r="F208" s="20"/>
      <c r="H208" s="20"/>
      <c r="J208" s="20"/>
      <c r="L208" s="20"/>
      <c r="N208" s="20"/>
      <c r="P208" s="20"/>
      <c r="R208" s="20"/>
      <c r="T208" s="20"/>
    </row>
    <row r="209" spans="4:20" ht="12.75">
      <c r="D209" s="40"/>
      <c r="F209" s="20"/>
      <c r="H209" s="20"/>
      <c r="J209" s="20"/>
      <c r="L209" s="20"/>
      <c r="N209" s="20"/>
      <c r="P209" s="20"/>
      <c r="R209" s="20"/>
      <c r="T209" s="20"/>
    </row>
    <row r="212" spans="1:20" ht="12.75">
      <c r="A212" s="41"/>
      <c r="B212" s="20"/>
      <c r="D212" s="20"/>
      <c r="F212" s="20"/>
      <c r="H212" s="20"/>
      <c r="J212" s="20"/>
      <c r="L212" s="20"/>
      <c r="N212" s="20"/>
      <c r="P212" s="20"/>
      <c r="R212" s="20"/>
      <c r="T212" s="20"/>
    </row>
  </sheetData>
  <sheetProtection/>
  <printOptions gridLines="1" horizontalCentered="1"/>
  <pageMargins left="0.31496062992125984" right="0.11811023622047245" top="0.3937007874015748" bottom="0.07874015748031496" header="0" footer="0"/>
  <pageSetup fitToHeight="4" horizontalDpi="300" verticalDpi="300" orientation="landscape" paperSize="9" scale="76" r:id="rId1"/>
  <headerFooter alignWithMargins="0">
    <oddFooter>&amp;C&amp;P</oddFooter>
  </headerFooter>
  <rowBreaks count="3" manualBreakCount="3">
    <brk id="46" max="255" man="1"/>
    <brk id="105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6.7109375" style="0" customWidth="1"/>
    <col min="2" max="2" width="5.7109375" style="0" customWidth="1"/>
    <col min="3" max="3" width="11.00390625" style="0" customWidth="1"/>
    <col min="4" max="4" width="4.57421875" style="0" customWidth="1"/>
    <col min="5" max="5" width="10.00390625" style="0" customWidth="1"/>
    <col min="6" max="6" width="4.57421875" style="0" customWidth="1"/>
    <col min="7" max="7" width="9.421875" style="0" customWidth="1"/>
    <col min="8" max="8" width="2.421875" style="0" customWidth="1"/>
    <col min="9" max="9" width="10.8515625" style="0" customWidth="1"/>
    <col min="10" max="10" width="4.57421875" style="0" customWidth="1"/>
    <col min="11" max="11" width="10.8515625" style="0" customWidth="1"/>
    <col min="12" max="12" width="4.57421875" style="0" customWidth="1"/>
    <col min="13" max="13" width="10.8515625" style="0" customWidth="1"/>
    <col min="14" max="14" width="2.7109375" style="0" customWidth="1"/>
    <col min="15" max="15" width="10.8515625" style="0" customWidth="1"/>
    <col min="16" max="16" width="4.57421875" style="0" customWidth="1"/>
    <col min="17" max="17" width="10.8515625" style="0" customWidth="1"/>
    <col min="18" max="18" width="4.57421875" style="0" customWidth="1"/>
    <col min="19" max="19" width="10.8515625" style="0" customWidth="1"/>
    <col min="20" max="20" width="4.57421875" style="0" customWidth="1"/>
    <col min="21" max="21" width="11.421875" style="0" customWidth="1"/>
  </cols>
  <sheetData>
    <row r="2" spans="1:21" ht="12.75">
      <c r="A2" s="44" t="s">
        <v>24</v>
      </c>
      <c r="B2" s="50"/>
      <c r="C2" s="44"/>
      <c r="D2" s="46"/>
      <c r="E2" s="46"/>
      <c r="F2" s="51" t="str">
        <f>+riclassificazione!F1</f>
        <v>Brianza</v>
      </c>
      <c r="G2" s="47"/>
      <c r="H2" s="51"/>
      <c r="I2" s="47"/>
      <c r="J2" s="51"/>
      <c r="K2" s="47"/>
      <c r="L2" s="51"/>
      <c r="M2" s="47"/>
      <c r="N2" s="51"/>
      <c r="O2" s="47"/>
      <c r="P2" s="51"/>
      <c r="Q2" s="47"/>
      <c r="R2" s="51"/>
      <c r="S2" s="47"/>
      <c r="T2" s="51"/>
      <c r="U2" s="47"/>
    </row>
    <row r="3" spans="1:21" ht="12.75">
      <c r="A3" s="43" t="str">
        <f>+riclassificazione!A2</f>
        <v>Minuterie metalliche</v>
      </c>
      <c r="B3" s="48"/>
      <c r="C3" s="48"/>
      <c r="D3" s="48"/>
      <c r="E3" s="43" t="s">
        <v>3</v>
      </c>
      <c r="F3" s="45"/>
      <c r="G3" s="49"/>
      <c r="H3" s="45"/>
      <c r="I3" s="49"/>
      <c r="J3" s="45"/>
      <c r="K3" s="49"/>
      <c r="L3" s="45"/>
      <c r="M3" s="49"/>
      <c r="N3" s="45"/>
      <c r="O3" s="49"/>
      <c r="P3" s="45"/>
      <c r="Q3" s="49"/>
      <c r="R3" s="45"/>
      <c r="S3" s="49"/>
      <c r="T3" s="45"/>
      <c r="U3" s="49"/>
    </row>
    <row r="4" spans="1:21" ht="12.75">
      <c r="A4" s="22" t="s">
        <v>173</v>
      </c>
      <c r="B4" s="9">
        <f>+riclassificazione!B3</f>
        <v>37256</v>
      </c>
      <c r="C4" s="10"/>
      <c r="D4" s="9">
        <f>+riclassificazione!D3</f>
        <v>37621</v>
      </c>
      <c r="E4" s="10"/>
      <c r="F4" s="9">
        <f>+riclassificazione!F3</f>
        <v>37986</v>
      </c>
      <c r="G4" s="10"/>
      <c r="H4" s="9">
        <f>+riclassificazione!H3</f>
        <v>38352</v>
      </c>
      <c r="I4" s="10"/>
      <c r="J4" s="9">
        <f>+riclassificazione!J3</f>
        <v>38717</v>
      </c>
      <c r="K4" s="10"/>
      <c r="L4" s="9">
        <f>+riclassificazione!L3</f>
        <v>39082</v>
      </c>
      <c r="M4" s="10"/>
      <c r="N4" s="9">
        <f>+riclassificazione!N3</f>
        <v>39447</v>
      </c>
      <c r="O4" s="10"/>
      <c r="P4" s="9">
        <f>+riclassificazione!P3</f>
        <v>39813</v>
      </c>
      <c r="Q4" s="10"/>
      <c r="R4" s="9">
        <f>+riclassificazione!R3</f>
        <v>40178</v>
      </c>
      <c r="S4" s="10"/>
      <c r="T4" s="9">
        <f>+riclassificazione!T3</f>
        <v>40543</v>
      </c>
      <c r="U4" s="10"/>
    </row>
    <row r="5" spans="1:21" ht="12.75">
      <c r="A5" s="16"/>
      <c r="C5" s="16"/>
      <c r="E5" s="16"/>
      <c r="G5" s="16"/>
      <c r="I5" s="16"/>
      <c r="K5" s="16"/>
      <c r="M5" s="16"/>
      <c r="O5" s="16"/>
      <c r="Q5" s="16"/>
      <c r="S5" s="16"/>
      <c r="U5" s="16"/>
    </row>
    <row r="6" spans="1:21" ht="12.75">
      <c r="A6" s="26" t="s">
        <v>294</v>
      </c>
      <c r="C6" s="30">
        <v>90</v>
      </c>
      <c r="E6" s="32">
        <f>+riclassificazione!D157</f>
        <v>36</v>
      </c>
      <c r="G6" s="31">
        <f>+riclassificazione!F157</f>
        <v>-102</v>
      </c>
      <c r="I6" s="31">
        <f>+riclassificazione!H157</f>
        <v>-191</v>
      </c>
      <c r="K6" s="31">
        <f>+riclassificazione!J150</f>
        <v>-403</v>
      </c>
      <c r="M6" s="31">
        <f>+riclassificazione!L157</f>
        <v>-972</v>
      </c>
      <c r="O6" s="31">
        <f>+riclassificazione!N157</f>
        <v>57</v>
      </c>
      <c r="Q6" s="31">
        <f>+riclassificazione!P157</f>
        <v>-544</v>
      </c>
      <c r="S6" s="31">
        <f>+riclassificazione!R157</f>
        <v>-764</v>
      </c>
      <c r="U6" s="31">
        <f>+riclassificazione!T157</f>
        <v>-10244</v>
      </c>
    </row>
    <row r="7" spans="1:21" ht="12.75">
      <c r="A7" s="16"/>
      <c r="C7" s="16"/>
      <c r="E7" s="16"/>
      <c r="G7" s="16"/>
      <c r="I7" s="16"/>
      <c r="K7" s="16"/>
      <c r="M7" s="16"/>
      <c r="O7" s="16"/>
      <c r="Q7" s="16"/>
      <c r="S7" s="16"/>
      <c r="U7" s="16"/>
    </row>
    <row r="8" spans="1:21" ht="12.75">
      <c r="A8" s="16" t="s">
        <v>175</v>
      </c>
      <c r="C8" s="16"/>
      <c r="E8" s="16"/>
      <c r="G8" s="16"/>
      <c r="I8" s="16"/>
      <c r="K8" s="16"/>
      <c r="M8" s="16"/>
      <c r="O8" s="16"/>
      <c r="Q8" s="16"/>
      <c r="S8" s="16"/>
      <c r="U8" s="16"/>
    </row>
    <row r="9" spans="1:21" ht="12.75">
      <c r="A9" s="16" t="s">
        <v>176</v>
      </c>
      <c r="C9" s="17">
        <v>668</v>
      </c>
      <c r="E9" s="17">
        <f>-riclassificazione!D125-riclassificazione!D132-riclassificazione!D151</f>
        <v>1496</v>
      </c>
      <c r="G9" s="17">
        <f>-riclassificazione!F125-riclassificazione!F132-riclassificazione!F151</f>
        <v>1479</v>
      </c>
      <c r="I9" s="17">
        <f>-riclassificazione!H125-riclassificazione!H132-riclassificazione!H151</f>
        <v>1527</v>
      </c>
      <c r="K9" s="17">
        <f>-riclassificazione!J125-riclassificazione!J132-riclassificazione!J151</f>
        <v>1715</v>
      </c>
      <c r="M9" s="17">
        <f>-riclassificazione!L125-riclassificazione!L132-riclassificazione!L151</f>
        <v>1871</v>
      </c>
      <c r="O9" s="17">
        <f>-riclassificazione!N125-riclassificazione!N132-riclassificazione!N151</f>
        <v>1226</v>
      </c>
      <c r="Q9" s="17">
        <f>-riclassificazione!P125-riclassificazione!P132-riclassificazione!P151</f>
        <v>1115</v>
      </c>
      <c r="S9" s="17">
        <f>-riclassificazione!R125-riclassificazione!R132-riclassificazione!R151</f>
        <v>1233</v>
      </c>
      <c r="U9" s="17">
        <f>-riclassificazione!T125-riclassificazione!T132-riclassificazione!T151</f>
        <v>1213</v>
      </c>
    </row>
    <row r="10" spans="1:21" ht="12.75">
      <c r="A10" s="16" t="s">
        <v>177</v>
      </c>
      <c r="C10" s="25">
        <v>-5</v>
      </c>
      <c r="E10" s="25">
        <f>+riclassificazione!D72-riclassificazione!B72+riclassificazione!D73-riclassificazione!B73</f>
        <v>0</v>
      </c>
      <c r="G10" s="25">
        <f>+riclassificazione!F72-riclassificazione!D72+riclassificazione!F73-riclassificazione!D73</f>
        <v>0</v>
      </c>
      <c r="I10" s="25">
        <f>+riclassificazione!H72-riclassificazione!F72+riclassificazione!H73-riclassificazione!F73</f>
        <v>0</v>
      </c>
      <c r="K10" s="25">
        <f>+riclassificazione!J72-riclassificazione!H72+riclassificazione!J73-riclassificazione!H73</f>
        <v>4</v>
      </c>
      <c r="M10" s="25">
        <f>+riclassificazione!L72-riclassificazione!J72+riclassificazione!L73-riclassificazione!J73</f>
        <v>-4</v>
      </c>
      <c r="O10" s="25">
        <f>+riclassificazione!N72-riclassificazione!L72+riclassificazione!N73-riclassificazione!L73</f>
        <v>0</v>
      </c>
      <c r="Q10" s="25">
        <f>+riclassificazione!P72-riclassificazione!N72+riclassificazione!P73-riclassificazione!N73</f>
        <v>3</v>
      </c>
      <c r="S10" s="25">
        <f>+riclassificazione!R72-riclassificazione!P72+riclassificazione!R73-riclassificazione!P73</f>
        <v>-3</v>
      </c>
      <c r="U10" s="25">
        <f>+riclassificazione!T72-riclassificazione!R72+riclassificazione!T73-riclassificazione!R73</f>
        <v>4493</v>
      </c>
    </row>
    <row r="11" spans="1:21" ht="12.75">
      <c r="A11" s="16" t="s">
        <v>178</v>
      </c>
      <c r="C11" s="25">
        <v>-19</v>
      </c>
      <c r="E11" s="25">
        <f>+riclassificazione!D74-riclassificazione!B74</f>
        <v>-41</v>
      </c>
      <c r="G11" s="25">
        <f>+riclassificazione!F74-riclassificazione!D74</f>
        <v>19</v>
      </c>
      <c r="I11" s="25">
        <f>+riclassificazione!H74-riclassificazione!F74</f>
        <v>95</v>
      </c>
      <c r="K11" s="25">
        <f>+riclassificazione!J74-riclassificazione!H74</f>
        <v>127</v>
      </c>
      <c r="M11" s="25">
        <f>+riclassificazione!L74-riclassificazione!J74</f>
        <v>102</v>
      </c>
      <c r="O11" s="25">
        <f>+riclassificazione!N74-riclassificazione!L74</f>
        <v>49</v>
      </c>
      <c r="Q11" s="25">
        <f>+riclassificazione!P74-riclassificazione!N74</f>
        <v>-49</v>
      </c>
      <c r="S11" s="25">
        <f>+riclassificazione!R74-riclassificazione!P74</f>
        <v>118</v>
      </c>
      <c r="U11" s="25">
        <f>+riclassificazione!T74-riclassificazione!R74</f>
        <v>-72</v>
      </c>
    </row>
    <row r="12" spans="1:21" ht="12.75">
      <c r="A12" s="16" t="s">
        <v>293</v>
      </c>
      <c r="C12" s="25"/>
      <c r="E12" s="25"/>
      <c r="G12" s="25"/>
      <c r="I12" s="25"/>
      <c r="K12" s="25">
        <f>-riclassificazione!J155</f>
        <v>-350</v>
      </c>
      <c r="M12" s="25"/>
      <c r="O12" s="25"/>
      <c r="Q12" s="25"/>
      <c r="S12" s="25"/>
      <c r="U12" s="25"/>
    </row>
    <row r="13" spans="1:21" ht="12.75">
      <c r="A13" s="16"/>
      <c r="C13" s="16"/>
      <c r="E13" s="16"/>
      <c r="G13" s="16"/>
      <c r="I13" s="16"/>
      <c r="K13" s="16"/>
      <c r="M13" s="16"/>
      <c r="O13" s="16"/>
      <c r="Q13" s="16"/>
      <c r="S13" s="16"/>
      <c r="U13" s="16"/>
    </row>
    <row r="14" spans="1:21" ht="12.75">
      <c r="A14" s="16" t="s">
        <v>207</v>
      </c>
      <c r="C14" s="30">
        <v>734</v>
      </c>
      <c r="E14" s="30">
        <f>SUM(E6:E11)</f>
        <v>1491</v>
      </c>
      <c r="G14" s="31">
        <f>SUM(G6:G11)</f>
        <v>1396</v>
      </c>
      <c r="I14" s="31">
        <f>SUM(I6:I11)</f>
        <v>1431</v>
      </c>
      <c r="K14" s="31">
        <f>SUM(K6:K12)</f>
        <v>1093</v>
      </c>
      <c r="M14" s="31">
        <f>SUM(M6:M11)</f>
        <v>997</v>
      </c>
      <c r="O14" s="31">
        <f>SUM(O6:O11)</f>
        <v>1332</v>
      </c>
      <c r="Q14" s="31">
        <f>SUM(Q6:Q11)</f>
        <v>525</v>
      </c>
      <c r="S14" s="31">
        <f>SUM(S6:S11)</f>
        <v>584</v>
      </c>
      <c r="U14" s="31">
        <f>SUM(U6:U11)</f>
        <v>-4610</v>
      </c>
    </row>
    <row r="15" spans="1:21" ht="12.75">
      <c r="A15" s="19" t="s">
        <v>180</v>
      </c>
      <c r="C15" s="16"/>
      <c r="E15" s="16"/>
      <c r="G15" s="16"/>
      <c r="I15" s="16"/>
      <c r="K15" s="16"/>
      <c r="M15" s="16"/>
      <c r="O15" s="16"/>
      <c r="Q15" s="16"/>
      <c r="S15" s="16"/>
      <c r="U15" s="16"/>
    </row>
    <row r="16" spans="1:21" ht="12.75">
      <c r="A16" s="16" t="s">
        <v>181</v>
      </c>
      <c r="C16" s="25">
        <v>569</v>
      </c>
      <c r="E16" s="25">
        <f>+riclassificazione!D17-riclassificazione!B17+riclassificazione!D29-riclassificazione!B29</f>
        <v>-3139</v>
      </c>
      <c r="G16" s="25">
        <f>+riclassificazione!F17-riclassificazione!D17+riclassificazione!F29-riclassificazione!D29</f>
        <v>-836</v>
      </c>
      <c r="I16" s="25">
        <f>+riclassificazione!H17-riclassificazione!F17+riclassificazione!H29-riclassificazione!F29</f>
        <v>-257</v>
      </c>
      <c r="K16" s="25">
        <f>+riclassificazione!J17-riclassificazione!H17+riclassificazione!J29-riclassificazione!H29</f>
        <v>633</v>
      </c>
      <c r="M16" s="25">
        <f>+riclassificazione!L17-riclassificazione!J17+riclassificazione!L29-riclassificazione!J29</f>
        <v>-543</v>
      </c>
      <c r="O16" s="25">
        <f>+riclassificazione!N17-riclassificazione!L17+riclassificazione!N29-riclassificazione!L29</f>
        <v>1134</v>
      </c>
      <c r="Q16" s="25">
        <f>+riclassificazione!P17-riclassificazione!N17+riclassificazione!P29-riclassificazione!N29</f>
        <v>-956</v>
      </c>
      <c r="S16" s="25">
        <f>+riclassificazione!R17-riclassificazione!P17+riclassificazione!R29-riclassificazione!P29</f>
        <v>-414</v>
      </c>
      <c r="U16" s="25">
        <f>+riclassificazione!T17-riclassificazione!R17+riclassificazione!T29-riclassificazione!R29</f>
        <v>234</v>
      </c>
    </row>
    <row r="17" spans="1:21" ht="12.75">
      <c r="A17" s="16" t="s">
        <v>257</v>
      </c>
      <c r="C17" s="25">
        <v>-111</v>
      </c>
      <c r="E17" s="25">
        <f>+riclassificazione!D31-riclassificazione!B31+riclassificazione!D16-riclassificazione!B16</f>
        <v>0</v>
      </c>
      <c r="G17" s="25">
        <f>+riclassificazione!F31-riclassificazione!D31+riclassificazione!F16-riclassificazione!D16</f>
        <v>0</v>
      </c>
      <c r="I17" s="25">
        <f>+riclassificazione!H31-riclassificazione!F31+riclassificazione!H16-riclassificazione!F16</f>
        <v>258</v>
      </c>
      <c r="K17" s="25">
        <f>+riclassificazione!J31-riclassificazione!H31+riclassificazione!J16-riclassificazione!H16</f>
        <v>62</v>
      </c>
      <c r="M17" s="25">
        <f>+riclassificazione!L31-riclassificazione!J31+riclassificazione!L16-riclassificazione!J16</f>
        <v>38</v>
      </c>
      <c r="O17" s="25">
        <f>+riclassificazione!N31-riclassificazione!L31+riclassificazione!N16-riclassificazione!L16</f>
        <v>-78</v>
      </c>
      <c r="Q17" s="25">
        <f>+riclassificazione!P31-riclassificazione!N31+riclassificazione!P16-riclassificazione!N16</f>
        <v>38</v>
      </c>
      <c r="S17" s="25">
        <f>+riclassificazione!R31-riclassificazione!P31+riclassificazione!R16-riclassificazione!P16</f>
        <v>-215</v>
      </c>
      <c r="U17" s="25">
        <f>+riclassificazione!T31-riclassificazione!R31+riclassificazione!T16-riclassificazione!R16</f>
        <v>-78</v>
      </c>
    </row>
    <row r="18" spans="1:21" ht="12.75">
      <c r="A18" s="16" t="s">
        <v>258</v>
      </c>
      <c r="C18" s="25">
        <v>-18</v>
      </c>
      <c r="E18" s="25">
        <f>+riclassificazione!D32-riclassificazione!B32</f>
        <v>-119</v>
      </c>
      <c r="G18" s="25">
        <f>+riclassificazione!F32-riclassificazione!D32</f>
        <v>-15</v>
      </c>
      <c r="I18" s="25">
        <f>+riclassificazione!H32-riclassificazione!F32</f>
        <v>-292</v>
      </c>
      <c r="K18" s="25">
        <f>+riclassificazione!J32-riclassificazione!H32</f>
        <v>-40</v>
      </c>
      <c r="M18" s="25">
        <f>+riclassificazione!L32-riclassificazione!J32</f>
        <v>-1</v>
      </c>
      <c r="O18" s="25">
        <f>+riclassificazione!N32-riclassificazione!L32</f>
        <v>6</v>
      </c>
      <c r="Q18" s="25">
        <f>+riclassificazione!P32-riclassificazione!N32</f>
        <v>-2</v>
      </c>
      <c r="S18" s="25">
        <f>+riclassificazione!R32-riclassificazione!P32</f>
        <v>-2</v>
      </c>
      <c r="U18" s="25">
        <f>+riclassificazione!T32-riclassificazione!R32</f>
        <v>20</v>
      </c>
    </row>
    <row r="19" spans="1:21" ht="12.75">
      <c r="A19" s="16" t="s">
        <v>182</v>
      </c>
      <c r="C19" s="25">
        <v>204</v>
      </c>
      <c r="E19" s="25">
        <f>+riclassificazione!D27-riclassificazione!B27</f>
        <v>351</v>
      </c>
      <c r="G19" s="25">
        <f>+riclassificazione!F27-riclassificazione!D27</f>
        <v>396</v>
      </c>
      <c r="I19" s="25">
        <f>+riclassificazione!H27-riclassificazione!F27</f>
        <v>415</v>
      </c>
      <c r="K19" s="25">
        <f>+riclassificazione!J27-riclassificazione!H27</f>
        <v>230</v>
      </c>
      <c r="M19" s="25">
        <f>+riclassificazione!L27-riclassificazione!J27</f>
        <v>1175</v>
      </c>
      <c r="O19" s="25">
        <f>+riclassificazione!N27-riclassificazione!L27</f>
        <v>393</v>
      </c>
      <c r="Q19" s="25">
        <f>+riclassificazione!P27-riclassificazione!N27</f>
        <v>-110</v>
      </c>
      <c r="S19" s="25">
        <f>+riclassificazione!R27-riclassificazione!P27</f>
        <v>237</v>
      </c>
      <c r="U19" s="25">
        <f>+riclassificazione!T27-riclassificazione!R27</f>
        <v>-2529</v>
      </c>
    </row>
    <row r="20" spans="1:21" ht="12.75">
      <c r="A20" s="19" t="s">
        <v>180</v>
      </c>
      <c r="C20" s="25"/>
      <c r="E20" s="16"/>
      <c r="G20" s="16"/>
      <c r="I20" s="16"/>
      <c r="K20" s="16"/>
      <c r="M20" s="16"/>
      <c r="O20" s="16"/>
      <c r="Q20" s="16"/>
      <c r="S20" s="16"/>
      <c r="U20" s="16"/>
    </row>
    <row r="21" spans="1:21" ht="12.75">
      <c r="A21" s="16" t="s">
        <v>183</v>
      </c>
      <c r="C21" s="25">
        <v>549</v>
      </c>
      <c r="E21" s="25">
        <f>+riclassificazione!D82-riclassificazione!B82+riclassificazione!D95-riclassificazione!B95</f>
        <v>-298</v>
      </c>
      <c r="G21" s="25">
        <f>+riclassificazione!F82-riclassificazione!D82+riclassificazione!F95-riclassificazione!D95</f>
        <v>-90</v>
      </c>
      <c r="I21" s="25">
        <f>+riclassificazione!H82-riclassificazione!F82+riclassificazione!H95-riclassificazione!F95</f>
        <v>-321</v>
      </c>
      <c r="K21" s="25">
        <f>+riclassificazione!J82-riclassificazione!H82+riclassificazione!J95-riclassificazione!H95</f>
        <v>716</v>
      </c>
      <c r="M21" s="25">
        <f>+riclassificazione!L82-riclassificazione!J82+riclassificazione!L95-riclassificazione!J95</f>
        <v>-239</v>
      </c>
      <c r="O21" s="25">
        <f>+riclassificazione!N82-riclassificazione!L82+riclassificazione!N95-riclassificazione!L95</f>
        <v>-55</v>
      </c>
      <c r="Q21" s="25">
        <f>+riclassificazione!P82-riclassificazione!N82+riclassificazione!P95-riclassificazione!N95</f>
        <v>0</v>
      </c>
      <c r="S21" s="25">
        <f>+riclassificazione!R82-riclassificazione!P82+riclassificazione!R95-riclassificazione!P95</f>
        <v>990</v>
      </c>
      <c r="U21" s="25">
        <f>+riclassificazione!T82-riclassificazione!R82+riclassificazione!T95-riclassificazione!R95</f>
        <v>-220</v>
      </c>
    </row>
    <row r="22" spans="1:21" ht="12.75">
      <c r="A22" s="16" t="s">
        <v>209</v>
      </c>
      <c r="C22" s="25">
        <v>-34</v>
      </c>
      <c r="E22" s="25">
        <f>+riclassificazione!D96-riclassificazione!B96</f>
        <v>41</v>
      </c>
      <c r="G22" s="25">
        <f>+riclassificazione!F96-riclassificazione!D96</f>
        <v>124</v>
      </c>
      <c r="I22" s="25">
        <f>+riclassificazione!H96-riclassificazione!F96</f>
        <v>-96</v>
      </c>
      <c r="K22" s="25">
        <f>+riclassificazione!J96-riclassificazione!H96</f>
        <v>-36</v>
      </c>
      <c r="M22" s="25">
        <f>+riclassificazione!L96-riclassificazione!J96</f>
        <v>-17</v>
      </c>
      <c r="O22" s="25">
        <f>+riclassificazione!N96-riclassificazione!L96</f>
        <v>64</v>
      </c>
      <c r="Q22" s="25">
        <f>+riclassificazione!P96-riclassificazione!N96</f>
        <v>-40</v>
      </c>
      <c r="S22" s="25">
        <f>+riclassificazione!R96-riclassificazione!P96</f>
        <v>-12</v>
      </c>
      <c r="U22" s="25">
        <f>+riclassificazione!T96-riclassificazione!R96</f>
        <v>276</v>
      </c>
    </row>
    <row r="23" spans="1:21" ht="12.75">
      <c r="A23" s="16" t="s">
        <v>184</v>
      </c>
      <c r="C23" s="25">
        <v>70</v>
      </c>
      <c r="E23" s="25">
        <f>+riclassificazione!D97-riclassificazione!B97</f>
        <v>-5</v>
      </c>
      <c r="G23" s="25">
        <f>+riclassificazione!F97-riclassificazione!D97</f>
        <v>20</v>
      </c>
      <c r="I23" s="25">
        <f>+riclassificazione!H97-riclassificazione!F97</f>
        <v>-14</v>
      </c>
      <c r="K23" s="25">
        <f>+riclassificazione!J97-riclassificazione!H97</f>
        <v>30</v>
      </c>
      <c r="M23" s="25">
        <f>+riclassificazione!L97-riclassificazione!J97</f>
        <v>3</v>
      </c>
      <c r="O23" s="25">
        <f>+riclassificazione!N97-riclassificazione!L97</f>
        <v>43</v>
      </c>
      <c r="Q23" s="25">
        <f>+riclassificazione!P97-riclassificazione!N97</f>
        <v>74</v>
      </c>
      <c r="S23" s="25">
        <f>+riclassificazione!R97-riclassificazione!P97</f>
        <v>-115</v>
      </c>
      <c r="U23" s="25">
        <f>+riclassificazione!T97-riclassificazione!R97</f>
        <v>2430</v>
      </c>
    </row>
    <row r="24" spans="1:21" ht="12.75">
      <c r="A24" s="16" t="s">
        <v>185</v>
      </c>
      <c r="C24" s="25">
        <v>-11</v>
      </c>
      <c r="E24" s="25">
        <f>+riclassificazione!D98-riclassificazione!B98+riclassificazione!D66-riclassificazione!B66</f>
        <v>0</v>
      </c>
      <c r="G24" s="25">
        <f>+riclassificazione!F98-riclassificazione!D98+riclassificazione!F66-riclassificazione!D66</f>
        <v>0</v>
      </c>
      <c r="I24" s="25">
        <f>+riclassificazione!H98-riclassificazione!F98+riclassificazione!H66-riclassificazione!F66</f>
        <v>0</v>
      </c>
      <c r="K24" s="25">
        <f>+riclassificazione!J98-riclassificazione!H98+riclassificazione!J66-riclassificazione!H66</f>
        <v>0</v>
      </c>
      <c r="M24" s="25">
        <f>+riclassificazione!L98-riclassificazione!J98+riclassificazione!L66-riclassificazione!J66</f>
        <v>0</v>
      </c>
      <c r="O24" s="25">
        <f>+riclassificazione!N98-riclassificazione!L98+riclassificazione!N66-riclassificazione!L66</f>
        <v>0</v>
      </c>
      <c r="Q24" s="25">
        <f>+riclassificazione!P98-riclassificazione!N98+riclassificazione!P66-riclassificazione!N66</f>
        <v>0</v>
      </c>
      <c r="S24" s="25">
        <f>+riclassificazione!R98-riclassificazione!P98+riclassificazione!R66-riclassificazione!P66</f>
        <v>0</v>
      </c>
      <c r="U24" s="25">
        <f>+riclassificazione!T98-riclassificazione!R98+riclassificazione!T66-riclassificazione!R66</f>
        <v>0</v>
      </c>
    </row>
    <row r="25" spans="1:21" ht="12.75">
      <c r="A25" s="16"/>
      <c r="C25" s="16"/>
      <c r="E25" s="16"/>
      <c r="G25" s="16"/>
      <c r="I25" s="16"/>
      <c r="K25" s="16"/>
      <c r="M25" s="16"/>
      <c r="O25" s="16"/>
      <c r="Q25" s="16"/>
      <c r="S25" s="16"/>
      <c r="U25" s="16"/>
    </row>
    <row r="26" spans="1:21" ht="12.75">
      <c r="A26" s="16" t="s">
        <v>210</v>
      </c>
      <c r="C26" s="31">
        <v>70</v>
      </c>
      <c r="E26" s="31">
        <f>SUM(E16:E19)-SUM(E21:E24)</f>
        <v>-2645</v>
      </c>
      <c r="G26" s="31">
        <f>SUM(G16:G19)-SUM(G21:G24)</f>
        <v>-509</v>
      </c>
      <c r="I26" s="31">
        <f>SUM(I16:I19)-SUM(I21:I24)</f>
        <v>555</v>
      </c>
      <c r="K26" s="31">
        <f>SUM(K16:K19)-SUM(K21:K24)</f>
        <v>175</v>
      </c>
      <c r="M26" s="31">
        <f>SUM(M16:M19)-SUM(M21:M24)</f>
        <v>922</v>
      </c>
      <c r="O26" s="31">
        <f>SUM(O16:O19)-SUM(O21:O24)</f>
        <v>1403</v>
      </c>
      <c r="Q26" s="31">
        <f>SUM(Q16:Q19)-SUM(Q21:Q24)</f>
        <v>-1064</v>
      </c>
      <c r="S26" s="31">
        <f>SUM(S16:S19)-SUM(S21:S24)</f>
        <v>-1257</v>
      </c>
      <c r="U26" s="31">
        <f>SUM(U16:U19)-SUM(U21:U24)</f>
        <v>-4839</v>
      </c>
    </row>
    <row r="27" spans="1:21" ht="12.75">
      <c r="A27" s="16"/>
      <c r="C27" s="16"/>
      <c r="E27" s="16"/>
      <c r="G27" s="16"/>
      <c r="I27" s="16"/>
      <c r="K27" s="16"/>
      <c r="M27" s="16"/>
      <c r="O27" s="16"/>
      <c r="Q27" s="16"/>
      <c r="S27" s="16"/>
      <c r="U27" s="16"/>
    </row>
    <row r="28" spans="1:21" ht="12.75">
      <c r="A28" s="16" t="s">
        <v>211</v>
      </c>
      <c r="C28" s="32">
        <v>664</v>
      </c>
      <c r="E28" s="32">
        <f>+E14-E26</f>
        <v>4136</v>
      </c>
      <c r="G28" s="32">
        <f>+G14-G26</f>
        <v>1905</v>
      </c>
      <c r="I28" s="32">
        <f>+I14-I26</f>
        <v>876</v>
      </c>
      <c r="K28" s="32">
        <f>+K14-K26</f>
        <v>918</v>
      </c>
      <c r="M28" s="32">
        <f>+M14-M26</f>
        <v>75</v>
      </c>
      <c r="O28" s="32">
        <f>+O14-O26</f>
        <v>-71</v>
      </c>
      <c r="Q28" s="32">
        <f>+Q14-Q26</f>
        <v>1589</v>
      </c>
      <c r="S28" s="32">
        <f>+S14-S26</f>
        <v>1841</v>
      </c>
      <c r="U28" s="32">
        <f>+U14-U26</f>
        <v>229</v>
      </c>
    </row>
    <row r="29" spans="1:21" ht="12.75">
      <c r="A29" s="16"/>
      <c r="C29" s="16"/>
      <c r="E29" s="16"/>
      <c r="G29" s="16"/>
      <c r="I29" s="16"/>
      <c r="K29" s="16"/>
      <c r="M29" s="16"/>
      <c r="O29" s="16"/>
      <c r="Q29" s="16"/>
      <c r="S29" s="16"/>
      <c r="U29" s="16"/>
    </row>
    <row r="30" spans="1:21" ht="12.75">
      <c r="A30" s="16" t="s">
        <v>190</v>
      </c>
      <c r="C30" s="25">
        <v>-570</v>
      </c>
      <c r="E30" s="25">
        <f>-'calcoli cash flow'!F9</f>
        <v>-1744</v>
      </c>
      <c r="G30" s="25">
        <f>-'calcoli cash flow'!H9</f>
        <v>-1918</v>
      </c>
      <c r="I30" s="25">
        <f>-'calcoli cash flow'!J9</f>
        <v>-1873</v>
      </c>
      <c r="K30" s="25">
        <f>-'calcoli cash flow'!L9</f>
        <v>-1867</v>
      </c>
      <c r="M30" s="25">
        <f>-'calcoli cash flow'!N9</f>
        <v>-1345</v>
      </c>
      <c r="O30" s="25">
        <f>-'calcoli cash flow'!P9</f>
        <v>-1594</v>
      </c>
      <c r="Q30" s="25">
        <f>-'calcoli cash flow'!R9</f>
        <v>-1610</v>
      </c>
      <c r="S30" s="25">
        <f>-'calcoli cash flow'!T9</f>
        <v>-1469</v>
      </c>
      <c r="U30" s="25">
        <f>-'calcoli cash flow'!V9</f>
        <v>-329</v>
      </c>
    </row>
    <row r="31" spans="1:21" ht="12.75">
      <c r="A31" s="16" t="s">
        <v>191</v>
      </c>
      <c r="C31" s="25"/>
      <c r="E31" s="16"/>
      <c r="G31" s="16"/>
      <c r="I31" s="16"/>
      <c r="K31" s="16"/>
      <c r="M31" s="16"/>
      <c r="O31" s="16"/>
      <c r="Q31" s="16"/>
      <c r="S31" s="16"/>
      <c r="U31" s="16"/>
    </row>
    <row r="32" spans="1:21" ht="12.75">
      <c r="A32" s="16" t="s">
        <v>192</v>
      </c>
      <c r="C32" s="25">
        <v>-18</v>
      </c>
      <c r="E32" s="25">
        <f>-'calcoli cash flow'!F16</f>
        <v>-331</v>
      </c>
      <c r="G32" s="25">
        <f>-'calcoli cash flow'!H16</f>
        <v>-303</v>
      </c>
      <c r="I32" s="25">
        <f>-'calcoli cash flow'!J16</f>
        <v>-191</v>
      </c>
      <c r="K32" s="25">
        <f>-'calcoli cash flow'!L16</f>
        <v>-194</v>
      </c>
      <c r="M32" s="25">
        <f>-'calcoli cash flow'!N16</f>
        <v>-98</v>
      </c>
      <c r="O32" s="25">
        <f>-'calcoli cash flow'!P16</f>
        <v>-131</v>
      </c>
      <c r="Q32" s="25">
        <f>-'calcoli cash flow'!R16</f>
        <v>-161</v>
      </c>
      <c r="S32" s="25">
        <f>-'calcoli cash flow'!T16</f>
        <v>-43</v>
      </c>
      <c r="U32" s="25">
        <f>-'calcoli cash flow'!V16</f>
        <v>1</v>
      </c>
    </row>
    <row r="33" spans="1:21" ht="12.75">
      <c r="A33" s="16" t="s">
        <v>193</v>
      </c>
      <c r="C33" s="25"/>
      <c r="E33" s="16"/>
      <c r="G33" s="16"/>
      <c r="I33" s="16"/>
      <c r="K33" s="16"/>
      <c r="M33" s="16"/>
      <c r="O33" s="16"/>
      <c r="Q33" s="16"/>
      <c r="S33" s="16"/>
      <c r="U33" s="16"/>
    </row>
    <row r="34" spans="1:21" ht="12.75">
      <c r="A34" s="16" t="s">
        <v>194</v>
      </c>
      <c r="C34" s="25">
        <v>0</v>
      </c>
      <c r="E34" s="25">
        <f>-riclassificazione!D14+riclassificazione!B14-riclassificazione!D15+riclassificazione!B15</f>
        <v>0</v>
      </c>
      <c r="G34" s="25">
        <f>-riclassificazione!F14+riclassificazione!D14-riclassificazione!F15+riclassificazione!D15</f>
        <v>0</v>
      </c>
      <c r="I34" s="25">
        <f>-riclassificazione!H14+riclassificazione!F14-riclassificazione!H15+riclassificazione!F15</f>
        <v>-250</v>
      </c>
      <c r="K34" s="25">
        <f>-riclassificazione!J14+riclassificazione!H14-riclassificazione!J15+riclassificazione!H15</f>
        <v>-918</v>
      </c>
      <c r="M34" s="25">
        <f>-riclassificazione!L14+riclassificazione!J14-riclassificazione!L15+riclassificazione!J15</f>
        <v>-46</v>
      </c>
      <c r="O34" s="25">
        <f>-riclassificazione!N14+riclassificazione!L14-riclassificazione!N15+riclassificazione!L15</f>
        <v>-357</v>
      </c>
      <c r="Q34" s="25">
        <f>-riclassificazione!P14+riclassificazione!N14-riclassificazione!P15+riclassificazione!N15</f>
        <v>-574</v>
      </c>
      <c r="S34" s="25">
        <f>-riclassificazione!R14+riclassificazione!P14-riclassificazione!R15+riclassificazione!P15</f>
        <v>300</v>
      </c>
      <c r="U34" s="25">
        <f>-riclassificazione!T14+riclassificazione!R14-riclassificazione!T15+riclassificazione!R15</f>
        <v>1845</v>
      </c>
    </row>
    <row r="35" spans="1:21" ht="12.75">
      <c r="A35" s="16" t="s">
        <v>195</v>
      </c>
      <c r="C35" s="52"/>
      <c r="E35" s="16"/>
      <c r="G35" s="16"/>
      <c r="I35" s="16"/>
      <c r="K35" s="16"/>
      <c r="M35" s="16"/>
      <c r="O35" s="16"/>
      <c r="Q35" s="16"/>
      <c r="S35" s="16"/>
      <c r="U35" s="16"/>
    </row>
    <row r="36" spans="1:21" ht="12.75">
      <c r="A36" s="16" t="s">
        <v>208</v>
      </c>
      <c r="C36" s="25">
        <v>0</v>
      </c>
      <c r="E36" s="25">
        <f>-riclassificazione!D30+riclassificazione!B30</f>
        <v>-249</v>
      </c>
      <c r="G36" s="25">
        <f>-riclassificazione!F30+riclassificazione!D30</f>
        <v>3</v>
      </c>
      <c r="I36" s="25">
        <f>-riclassificazione!H30+riclassificazione!F30</f>
        <v>249</v>
      </c>
      <c r="K36" s="25">
        <f>-riclassificazione!J30+riclassificazione!H30+riclassificazione!J155</f>
        <v>0</v>
      </c>
      <c r="M36" s="25">
        <f>-riclassificazione!L30+riclassificazione!J30</f>
        <v>350</v>
      </c>
      <c r="O36" s="25">
        <f>-riclassificazione!N30+riclassificazione!L30</f>
        <v>-29</v>
      </c>
      <c r="Q36" s="25">
        <f>-riclassificazione!P30+riclassificazione!N30</f>
        <v>-227</v>
      </c>
      <c r="S36" s="25">
        <f>-riclassificazione!R30+riclassificazione!P30</f>
        <v>0</v>
      </c>
      <c r="U36" s="25">
        <f>-riclassificazione!T30+riclassificazione!R30</f>
        <v>-2050</v>
      </c>
    </row>
    <row r="37" spans="1:21" ht="12.75">
      <c r="A37" s="27" t="s">
        <v>243</v>
      </c>
      <c r="C37" s="32">
        <v>-588</v>
      </c>
      <c r="E37" s="32">
        <f>SUM(E30:E36)</f>
        <v>-2324</v>
      </c>
      <c r="G37" s="32">
        <f>SUM(G30:G36)</f>
        <v>-2218</v>
      </c>
      <c r="I37" s="32">
        <f>SUM(I30:I36)</f>
        <v>-2065</v>
      </c>
      <c r="K37" s="32">
        <f>SUM(K30:K36)</f>
        <v>-2979</v>
      </c>
      <c r="M37" s="32">
        <f>SUM(M30:M36)</f>
        <v>-1139</v>
      </c>
      <c r="O37" s="32">
        <f>SUM(O30:O36)</f>
        <v>-2111</v>
      </c>
      <c r="Q37" s="32">
        <f>SUM(Q30:Q36)</f>
        <v>-2572</v>
      </c>
      <c r="S37" s="32">
        <f>SUM(S30:S36)</f>
        <v>-1212</v>
      </c>
      <c r="U37" s="32">
        <f>SUM(U30:U36)</f>
        <v>-533</v>
      </c>
    </row>
    <row r="38" spans="1:21" ht="12.75">
      <c r="A38" s="16"/>
      <c r="C38" s="16"/>
      <c r="E38" s="16"/>
      <c r="G38" s="16"/>
      <c r="I38" s="16"/>
      <c r="K38" s="16"/>
      <c r="M38" s="16"/>
      <c r="O38" s="16"/>
      <c r="Q38" s="16"/>
      <c r="S38" s="16"/>
      <c r="U38" s="16"/>
    </row>
    <row r="39" spans="1:21" ht="12.75">
      <c r="A39" s="16" t="s">
        <v>212</v>
      </c>
      <c r="C39" s="31">
        <v>76</v>
      </c>
      <c r="E39" s="31">
        <f>+E28+E37</f>
        <v>1812</v>
      </c>
      <c r="G39" s="31">
        <f>+G28+G37</f>
        <v>-313</v>
      </c>
      <c r="I39" s="31">
        <f>+I28+I37</f>
        <v>-1189</v>
      </c>
      <c r="K39" s="31">
        <f>+K28+K37</f>
        <v>-2061</v>
      </c>
      <c r="M39" s="31">
        <f>+M28+M37</f>
        <v>-1064</v>
      </c>
      <c r="O39" s="31">
        <f>+O28+O37</f>
        <v>-2182</v>
      </c>
      <c r="Q39" s="31">
        <f>+Q28+Q37</f>
        <v>-983</v>
      </c>
      <c r="S39" s="31">
        <f>+S28+S37</f>
        <v>629</v>
      </c>
      <c r="U39" s="31">
        <f>+U28+U37</f>
        <v>-304</v>
      </c>
    </row>
    <row r="40" spans="1:21" ht="12.75">
      <c r="A40" s="16" t="s">
        <v>213</v>
      </c>
      <c r="C40" s="16"/>
      <c r="E40" s="16"/>
      <c r="G40" s="16"/>
      <c r="I40" s="16"/>
      <c r="K40" s="16"/>
      <c r="M40" s="16"/>
      <c r="O40" s="16"/>
      <c r="Q40" s="16"/>
      <c r="S40" s="16"/>
      <c r="U40" s="16"/>
    </row>
    <row r="41" spans="1:21" ht="12.75">
      <c r="A41" s="16"/>
      <c r="C41" s="16"/>
      <c r="E41" s="16"/>
      <c r="G41" s="16"/>
      <c r="I41" s="16"/>
      <c r="K41" s="16"/>
      <c r="M41" s="16"/>
      <c r="O41" s="16"/>
      <c r="Q41" s="16"/>
      <c r="S41" s="16"/>
      <c r="U41" s="16"/>
    </row>
    <row r="42" spans="1:21" ht="12.75">
      <c r="A42" s="27" t="s">
        <v>214</v>
      </c>
      <c r="C42" s="16"/>
      <c r="E42" s="16"/>
      <c r="G42" s="16"/>
      <c r="I42" s="16"/>
      <c r="K42" s="16"/>
      <c r="M42" s="16"/>
      <c r="O42" s="16"/>
      <c r="Q42" s="16"/>
      <c r="S42" s="16"/>
      <c r="U42" s="16"/>
    </row>
    <row r="43" spans="1:21" ht="12.75">
      <c r="A43" s="16" t="s">
        <v>215</v>
      </c>
      <c r="C43" s="25">
        <v>279</v>
      </c>
      <c r="E43" s="25">
        <f>+riclassificazione!D91-riclassificazione!B91</f>
        <v>-694</v>
      </c>
      <c r="G43" s="25">
        <f>+riclassificazione!F91-riclassificazione!D91</f>
        <v>-168</v>
      </c>
      <c r="I43" s="25">
        <f>+riclassificazione!H91-riclassificazione!F91</f>
        <v>1699</v>
      </c>
      <c r="K43" s="25">
        <f>+riclassificazione!J91-riclassificazione!H91</f>
        <v>-296</v>
      </c>
      <c r="M43" s="25">
        <f>+riclassificazione!L91-riclassificazione!J91</f>
        <v>1587</v>
      </c>
      <c r="O43" s="25">
        <f>+riclassificazione!N91-riclassificazione!L91</f>
        <v>1403</v>
      </c>
      <c r="Q43" s="25">
        <f>+riclassificazione!P91-riclassificazione!N91</f>
        <v>704</v>
      </c>
      <c r="S43" s="25">
        <f>+riclassificazione!R91-riclassificazione!P91</f>
        <v>-1949</v>
      </c>
      <c r="U43" s="25">
        <f>+riclassificazione!T91-riclassificazione!R91</f>
        <v>696</v>
      </c>
    </row>
    <row r="44" spans="1:21" ht="12.75">
      <c r="A44" s="16" t="s">
        <v>216</v>
      </c>
      <c r="C44" s="25">
        <v>-350</v>
      </c>
      <c r="E44" s="25">
        <f>+riclassificazione!D84-riclassificazione!B84-riclassificazione!D82+riclassificazione!B82</f>
        <v>-2491</v>
      </c>
      <c r="G44" s="25">
        <f>+riclassificazione!F84-riclassificazione!D84-riclassificazione!F82+riclassificazione!D82</f>
        <v>809</v>
      </c>
      <c r="I44" s="25">
        <f>+riclassificazione!H84-riclassificazione!F84-riclassificazione!H82+riclassificazione!F82</f>
        <v>-543</v>
      </c>
      <c r="K44" s="25">
        <f>+riclassificazione!J84-riclassificazione!H84-riclassificazione!J82+riclassificazione!H82</f>
        <v>1798</v>
      </c>
      <c r="M44" s="25">
        <f>+riclassificazione!L84-riclassificazione!J84-riclassificazione!L82+riclassificazione!J82</f>
        <v>-548</v>
      </c>
      <c r="O44" s="25">
        <f>+riclassificazione!N84-riclassificazione!L84-riclassificazione!N82+riclassificazione!L82</f>
        <v>-149</v>
      </c>
      <c r="Q44" s="25">
        <f>+riclassificazione!P84-riclassificazione!N84-riclassificazione!P82+riclassificazione!N82</f>
        <v>165</v>
      </c>
      <c r="S44" s="25">
        <f>+riclassificazione!R84-riclassificazione!P84-riclassificazione!R82+riclassificazione!P82</f>
        <v>1242</v>
      </c>
      <c r="U44" s="25">
        <f>+riclassificazione!T84-riclassificazione!R84-riclassificazione!T82+riclassificazione!R82</f>
        <v>-250</v>
      </c>
    </row>
    <row r="45" spans="1:21" ht="12.75">
      <c r="A45" s="16"/>
      <c r="C45" s="16"/>
      <c r="E45" s="25"/>
      <c r="G45" s="25"/>
      <c r="I45" s="25"/>
      <c r="K45" s="25"/>
      <c r="M45" s="25"/>
      <c r="O45" s="25"/>
      <c r="Q45" s="25"/>
      <c r="S45" s="25"/>
      <c r="U45" s="25"/>
    </row>
    <row r="46" spans="1:21" ht="12.75">
      <c r="A46" s="16" t="s">
        <v>217</v>
      </c>
      <c r="C46" s="31">
        <v>-71</v>
      </c>
      <c r="E46" s="31">
        <f>SUM(E43:E45)</f>
        <v>-3185</v>
      </c>
      <c r="G46" s="31">
        <f>SUM(G43:G45)</f>
        <v>641</v>
      </c>
      <c r="I46" s="31">
        <f>SUM(I43:I45)</f>
        <v>1156</v>
      </c>
      <c r="K46" s="31">
        <f>SUM(K43:K45)</f>
        <v>1502</v>
      </c>
      <c r="M46" s="31">
        <f>SUM(M43:M45)</f>
        <v>1039</v>
      </c>
      <c r="O46" s="31">
        <f>SUM(O43:O45)</f>
        <v>1254</v>
      </c>
      <c r="Q46" s="31">
        <f>SUM(Q43:Q45)</f>
        <v>869</v>
      </c>
      <c r="S46" s="31">
        <f>SUM(S43:S45)</f>
        <v>-707</v>
      </c>
      <c r="U46" s="31">
        <f>SUM(U43:U45)</f>
        <v>446</v>
      </c>
    </row>
    <row r="47" spans="1:21" ht="12.75">
      <c r="A47" s="16"/>
      <c r="C47" s="16"/>
      <c r="E47" s="16"/>
      <c r="G47" s="16"/>
      <c r="I47" s="16"/>
      <c r="K47" s="16"/>
      <c r="M47" s="16"/>
      <c r="O47" s="16"/>
      <c r="Q47" s="16"/>
      <c r="S47" s="16"/>
      <c r="U47" s="16"/>
    </row>
    <row r="48" spans="1:21" ht="12.75">
      <c r="A48" s="16" t="s">
        <v>262</v>
      </c>
      <c r="C48" s="31">
        <v>5</v>
      </c>
      <c r="E48" s="31">
        <f>+E39+E46</f>
        <v>-1373</v>
      </c>
      <c r="G48" s="31">
        <f>+G39+G46</f>
        <v>328</v>
      </c>
      <c r="I48" s="31">
        <f>+I39+I46</f>
        <v>-33</v>
      </c>
      <c r="K48" s="31">
        <f>+K39+K46</f>
        <v>-559</v>
      </c>
      <c r="M48" s="31">
        <f>+M39+M46</f>
        <v>-25</v>
      </c>
      <c r="O48" s="31">
        <f>+O39+O46</f>
        <v>-928</v>
      </c>
      <c r="Q48" s="31">
        <f>+Q39+Q46</f>
        <v>-114</v>
      </c>
      <c r="S48" s="31">
        <f>+S39+S46</f>
        <v>-78</v>
      </c>
      <c r="U48" s="31">
        <f>+U39+U46</f>
        <v>142</v>
      </c>
    </row>
    <row r="49" spans="1:21" ht="12.75">
      <c r="A49" s="16"/>
      <c r="C49" s="16"/>
      <c r="E49" s="16"/>
      <c r="G49" s="16"/>
      <c r="I49" s="16"/>
      <c r="K49" s="16"/>
      <c r="M49" s="16"/>
      <c r="O49" s="16"/>
      <c r="Q49" s="16"/>
      <c r="S49" s="16"/>
      <c r="U49" s="16"/>
    </row>
    <row r="50" spans="1:21" ht="12.75">
      <c r="A50" s="27" t="s">
        <v>218</v>
      </c>
      <c r="C50" s="16"/>
      <c r="E50" s="16"/>
      <c r="G50" s="16"/>
      <c r="I50" s="16"/>
      <c r="K50" s="16"/>
      <c r="M50" s="16"/>
      <c r="O50" s="16"/>
      <c r="Q50" s="16"/>
      <c r="S50" s="16"/>
      <c r="U50" s="16"/>
    </row>
    <row r="51" spans="1:21" ht="12.75">
      <c r="A51" s="16" t="s">
        <v>280</v>
      </c>
      <c r="C51" s="16"/>
      <c r="E51" s="25">
        <f>+riclassificazione!D70-riclassificazione!D66-riclassificazione!B70-riclassificazione!D65+riclassificazione!D151-riclassificazione!D58+riclassificazione!B58</f>
        <v>1431</v>
      </c>
      <c r="G51" s="25">
        <f>+riclassificazione!F70-riclassificazione!F66-riclassificazione!D70-riclassificazione!F65+riclassificazione!F151-riclassificazione!F58+riclassificazione!D58</f>
        <v>0</v>
      </c>
      <c r="I51" s="25">
        <f>+riclassificazione!H70-riclassificazione!H66-riclassificazione!F70-riclassificazione!H65+riclassificazione!H151-riclassificazione!H58+riclassificazione!F58</f>
        <v>0</v>
      </c>
      <c r="K51" s="25">
        <f>+riclassificazione!J70-riclassificazione!J66-riclassificazione!H70-riclassificazione!J65+riclassificazione!J151-riclassificazione!J58+riclassificazione!H58+riclassificazione!J155</f>
        <v>350</v>
      </c>
      <c r="M51" s="25">
        <f>+riclassificazione!L70-riclassificazione!L66-riclassificazione!J70-riclassificazione!L65+riclassificazione!L151-riclassificazione!L58+riclassificazione!J58</f>
        <v>0</v>
      </c>
      <c r="O51" s="25">
        <f>+riclassificazione!N70-riclassificazione!N66-riclassificazione!L70-riclassificazione!N65+riclassificazione!N151-riclassificazione!N58+riclassificazione!L58</f>
        <v>964</v>
      </c>
      <c r="Q51" s="25">
        <f>+riclassificazione!P70-riclassificazione!P66-riclassificazione!N70-riclassificazione!P65+riclassificazione!P151-riclassificazione!P58+riclassificazione!N58</f>
        <v>0</v>
      </c>
      <c r="S51" s="25">
        <f>+riclassificazione!R70-riclassificazione!R66-riclassificazione!P70-riclassificazione!R65+riclassificazione!R151-riclassificazione!R58+riclassificazione!P58</f>
        <v>0</v>
      </c>
      <c r="U51" s="25">
        <f>+riclassificazione!T70-riclassificazione!T66-riclassificazione!R70-riclassificazione!T65+riclassificazione!T151-riclassificazione!T58+riclassificazione!R58</f>
        <v>0</v>
      </c>
    </row>
    <row r="52" spans="1:21" ht="12.75">
      <c r="A52" s="16"/>
      <c r="C52" s="16"/>
      <c r="E52" s="17"/>
      <c r="G52" s="17"/>
      <c r="I52" s="17"/>
      <c r="K52" s="17"/>
      <c r="M52" s="17"/>
      <c r="O52" s="17"/>
      <c r="Q52" s="17"/>
      <c r="S52" s="17"/>
      <c r="U52" s="17"/>
    </row>
    <row r="53" spans="1:21" ht="12.75">
      <c r="A53" s="16" t="s">
        <v>201</v>
      </c>
      <c r="C53" s="25">
        <v>-41</v>
      </c>
      <c r="E53" s="25">
        <f>+riclassificazione!B66</f>
        <v>0</v>
      </c>
      <c r="G53" s="25">
        <f>+riclassificazione!D66</f>
        <v>0</v>
      </c>
      <c r="I53" s="25">
        <f>+riclassificazione!F66</f>
        <v>0</v>
      </c>
      <c r="K53" s="25">
        <f>+riclassificazione!H66</f>
        <v>0</v>
      </c>
      <c r="M53" s="25">
        <f>+riclassificazione!J66</f>
        <v>0</v>
      </c>
      <c r="O53" s="25">
        <f>+riclassificazione!L66</f>
        <v>0</v>
      </c>
      <c r="Q53" s="25">
        <f>+riclassificazione!N66</f>
        <v>0</v>
      </c>
      <c r="S53" s="25">
        <f>+riclassificazione!P66</f>
        <v>0</v>
      </c>
      <c r="U53" s="25">
        <f>+riclassificazione!R66</f>
        <v>0</v>
      </c>
    </row>
    <row r="54" spans="1:21" ht="12.75">
      <c r="A54" s="16"/>
      <c r="C54" s="16">
        <v>0</v>
      </c>
      <c r="E54" s="16"/>
      <c r="G54" s="17"/>
      <c r="I54" s="17"/>
      <c r="K54" s="17"/>
      <c r="M54" s="17"/>
      <c r="O54" s="17"/>
      <c r="Q54" s="17"/>
      <c r="S54" s="17"/>
      <c r="U54" s="17"/>
    </row>
    <row r="55" spans="1:21" ht="12.75">
      <c r="A55" s="18" t="s">
        <v>219</v>
      </c>
      <c r="C55" s="31">
        <v>-41</v>
      </c>
      <c r="E55" s="31">
        <f>SUM(E51:E53)</f>
        <v>1431</v>
      </c>
      <c r="G55" s="31">
        <f>SUM(G51:G54)</f>
        <v>0</v>
      </c>
      <c r="I55" s="31">
        <f>SUM(I51:I54)</f>
        <v>0</v>
      </c>
      <c r="K55" s="31">
        <f>SUM(K51:K54)</f>
        <v>350</v>
      </c>
      <c r="M55" s="31">
        <f>SUM(M51:M54)</f>
        <v>0</v>
      </c>
      <c r="O55" s="31">
        <f>SUM(O51:O54)</f>
        <v>964</v>
      </c>
      <c r="Q55" s="31">
        <f>SUM(Q51:Q54)</f>
        <v>0</v>
      </c>
      <c r="S55" s="31">
        <f>SUM(S51:S54)</f>
        <v>0</v>
      </c>
      <c r="U55" s="31">
        <f>SUM(U51:U54)</f>
        <v>0</v>
      </c>
    </row>
    <row r="56" spans="1:21" ht="12.75">
      <c r="A56" s="18"/>
      <c r="C56" s="16"/>
      <c r="E56" s="29"/>
      <c r="G56" s="29"/>
      <c r="I56" s="29"/>
      <c r="K56" s="29"/>
      <c r="M56" s="29"/>
      <c r="O56" s="29"/>
      <c r="Q56" s="29"/>
      <c r="S56" s="29"/>
      <c r="U56" s="29"/>
    </row>
    <row r="57" spans="1:21" ht="12.75">
      <c r="A57" s="33" t="s">
        <v>220</v>
      </c>
      <c r="C57" s="25">
        <v>-36</v>
      </c>
      <c r="E57" s="25">
        <f>+riclassificazione!D37-riclassificazione!B37</f>
        <v>58</v>
      </c>
      <c r="G57" s="25">
        <f>+riclassificazione!F37-riclassificazione!D37</f>
        <v>328</v>
      </c>
      <c r="I57" s="25">
        <f>+riclassificazione!H37-riclassificazione!F37</f>
        <v>-33</v>
      </c>
      <c r="K57" s="25">
        <f>+riclassificazione!J37-riclassificazione!H37</f>
        <v>-209</v>
      </c>
      <c r="M57" s="25">
        <f>+riclassificazione!L37-riclassificazione!J37</f>
        <v>-25</v>
      </c>
      <c r="O57" s="25">
        <f>+riclassificazione!N37-riclassificazione!L37</f>
        <v>36</v>
      </c>
      <c r="Q57" s="25">
        <f>+riclassificazione!P37-riclassificazione!N37</f>
        <v>-114</v>
      </c>
      <c r="S57" s="25">
        <f>+riclassificazione!R37-riclassificazione!P37</f>
        <v>-78</v>
      </c>
      <c r="U57" s="25">
        <f>+riclassificazione!T37-riclassificazione!R37</f>
        <v>142</v>
      </c>
    </row>
    <row r="58" spans="1:21" ht="12.75">
      <c r="A58" s="16"/>
      <c r="C58" s="16"/>
      <c r="E58" s="16"/>
      <c r="G58" s="16"/>
      <c r="I58" s="16"/>
      <c r="K58" s="16"/>
      <c r="M58" s="16"/>
      <c r="O58" s="16"/>
      <c r="Q58" s="16"/>
      <c r="S58" s="16"/>
      <c r="U58" s="16"/>
    </row>
    <row r="59" spans="1:21" ht="12.75">
      <c r="A59" s="21" t="s">
        <v>206</v>
      </c>
      <c r="C59" s="31">
        <v>-36</v>
      </c>
      <c r="E59" s="31">
        <f>+E48+E55</f>
        <v>58</v>
      </c>
      <c r="G59" s="31">
        <f>+G48+G55</f>
        <v>328</v>
      </c>
      <c r="I59" s="31">
        <f>+I48+I55</f>
        <v>-33</v>
      </c>
      <c r="K59" s="31">
        <f>+K48+K55</f>
        <v>-209</v>
      </c>
      <c r="M59" s="31">
        <f>+M48+M55</f>
        <v>-25</v>
      </c>
      <c r="O59" s="31">
        <f>+O48+O55</f>
        <v>36</v>
      </c>
      <c r="Q59" s="31">
        <f>+Q48+Q55</f>
        <v>-114</v>
      </c>
      <c r="S59" s="31">
        <f>+S48+S55</f>
        <v>-78</v>
      </c>
      <c r="U59" s="31">
        <f>+U48+U55</f>
        <v>142</v>
      </c>
    </row>
    <row r="60" spans="1:21" ht="12.75">
      <c r="A60" s="24"/>
      <c r="B60" s="15"/>
      <c r="C60" s="38"/>
      <c r="D60" s="15"/>
      <c r="E60" s="34"/>
      <c r="F60" s="15"/>
      <c r="G60" s="34"/>
      <c r="H60" s="15"/>
      <c r="I60" s="34"/>
      <c r="J60" s="15"/>
      <c r="K60" s="34"/>
      <c r="L60" s="15"/>
      <c r="M60" s="34"/>
      <c r="N60" s="15"/>
      <c r="O60" s="34"/>
      <c r="P60" s="15"/>
      <c r="Q60" s="34"/>
      <c r="R60" s="15"/>
      <c r="S60" s="34"/>
      <c r="T60" s="15"/>
      <c r="U60" s="34"/>
    </row>
    <row r="61" spans="1:21" ht="12.75">
      <c r="A61" s="21" t="s">
        <v>204</v>
      </c>
      <c r="C61" s="31">
        <v>55</v>
      </c>
      <c r="E61" s="31">
        <f>+riclassificazione!B37</f>
        <v>54</v>
      </c>
      <c r="G61" s="31">
        <f>+riclassificazione!D37</f>
        <v>112</v>
      </c>
      <c r="I61" s="31">
        <f>+riclassificazione!F37</f>
        <v>440</v>
      </c>
      <c r="K61" s="31">
        <f>+riclassificazione!H37</f>
        <v>407</v>
      </c>
      <c r="M61" s="31">
        <f>+riclassificazione!J37</f>
        <v>198</v>
      </c>
      <c r="O61" s="31">
        <f>+riclassificazione!L37</f>
        <v>173</v>
      </c>
      <c r="Q61" s="31">
        <f>+riclassificazione!N37</f>
        <v>209</v>
      </c>
      <c r="S61" s="31">
        <f>+riclassificazione!P37</f>
        <v>95</v>
      </c>
      <c r="U61" s="31">
        <f>+riclassificazione!R37</f>
        <v>17</v>
      </c>
    </row>
    <row r="62" spans="1:21" ht="12.75">
      <c r="A62" s="24" t="s">
        <v>205</v>
      </c>
      <c r="B62" s="15"/>
      <c r="C62" s="34">
        <v>19</v>
      </c>
      <c r="D62" s="15"/>
      <c r="E62" s="34">
        <f>+riclassificazione!D37</f>
        <v>112</v>
      </c>
      <c r="F62" s="15"/>
      <c r="G62" s="34">
        <f>+riclassificazione!F37</f>
        <v>440</v>
      </c>
      <c r="H62" s="15"/>
      <c r="I62" s="34">
        <f>+riclassificazione!H37</f>
        <v>407</v>
      </c>
      <c r="J62" s="15"/>
      <c r="K62" s="34">
        <f>+riclassificazione!J37</f>
        <v>198</v>
      </c>
      <c r="L62" s="15"/>
      <c r="M62" s="34">
        <f>+riclassificazione!L37</f>
        <v>173</v>
      </c>
      <c r="N62" s="15"/>
      <c r="O62" s="34">
        <f>+riclassificazione!N37</f>
        <v>209</v>
      </c>
      <c r="P62" s="15"/>
      <c r="Q62" s="34">
        <f>+riclassificazione!P37</f>
        <v>95</v>
      </c>
      <c r="R62" s="15"/>
      <c r="S62" s="34">
        <f>+riclassificazione!R37</f>
        <v>17</v>
      </c>
      <c r="T62" s="15"/>
      <c r="U62" s="34">
        <f>+riclassificazione!T37</f>
        <v>159</v>
      </c>
    </row>
    <row r="64" spans="1:21" ht="12.75">
      <c r="A64" s="35" t="s">
        <v>221</v>
      </c>
      <c r="B64" s="36"/>
      <c r="C64" s="37">
        <v>19</v>
      </c>
      <c r="D64" s="36"/>
      <c r="E64" s="37">
        <f>+E61+E59</f>
        <v>112</v>
      </c>
      <c r="F64" s="36"/>
      <c r="G64" s="37">
        <f>+G61+G59</f>
        <v>440</v>
      </c>
      <c r="H64" s="36"/>
      <c r="I64" s="37">
        <f>+I61+I59</f>
        <v>407</v>
      </c>
      <c r="J64" s="36"/>
      <c r="K64" s="37">
        <f>+K61+K59</f>
        <v>198</v>
      </c>
      <c r="L64" s="36"/>
      <c r="M64" s="37">
        <f>+M61+M59</f>
        <v>173</v>
      </c>
      <c r="N64" s="36"/>
      <c r="O64" s="37">
        <f>+O61+O59</f>
        <v>209</v>
      </c>
      <c r="P64" s="36"/>
      <c r="Q64" s="37">
        <f>+Q61+Q59</f>
        <v>95</v>
      </c>
      <c r="R64" s="36"/>
      <c r="S64" s="37">
        <f>+S61+S59</f>
        <v>17</v>
      </c>
      <c r="T64" s="36"/>
      <c r="U64" s="37">
        <f>+U61+U59</f>
        <v>159</v>
      </c>
    </row>
    <row r="66" spans="3:21" ht="12.75">
      <c r="C66" s="39">
        <f>+C64-C62</f>
        <v>0</v>
      </c>
      <c r="E66" s="39">
        <f>+E64-E62</f>
        <v>0</v>
      </c>
      <c r="G66" s="39">
        <f>+G64-G62</f>
        <v>0</v>
      </c>
      <c r="I66" s="39">
        <f>+I64-I62</f>
        <v>0</v>
      </c>
      <c r="K66" s="39">
        <f>+K64-K62</f>
        <v>0</v>
      </c>
      <c r="M66" s="39">
        <f>+M64-M62</f>
        <v>0</v>
      </c>
      <c r="O66" s="39">
        <f>+O64-O62</f>
        <v>0</v>
      </c>
      <c r="Q66" s="39">
        <f>+Q64-Q62</f>
        <v>0</v>
      </c>
      <c r="S66" s="39">
        <f>+S64-S62</f>
        <v>0</v>
      </c>
      <c r="U66" s="39">
        <f>+U64-U62</f>
        <v>0</v>
      </c>
    </row>
  </sheetData>
  <sheetProtection/>
  <printOptions gridLines="1"/>
  <pageMargins left="0.17" right="0.16" top="0.18" bottom="0.18" header="0.23" footer="0.18"/>
  <pageSetup fitToHeight="0" fitToWidth="1" horizontalDpi="300" verticalDpi="300" orientation="landscape" paperSize="9" scale="78" r:id="rId1"/>
  <headerFooter alignWithMargins="0">
    <oddHeader>&amp;C&amp;A</oddHeader>
    <oddFooter>&amp;CPagina &amp;P</oddFooter>
  </headerFooter>
  <colBreaks count="2" manualBreakCount="2">
    <brk id="7" max="61" man="1"/>
    <brk id="13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4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28125" style="0" customWidth="1"/>
    <col min="2" max="2" width="36.7109375" style="0" customWidth="1"/>
    <col min="3" max="4" width="0" style="0" hidden="1" customWidth="1"/>
    <col min="5" max="5" width="5.140625" style="0" customWidth="1"/>
    <col min="6" max="6" width="11.8515625" style="0" customWidth="1"/>
    <col min="7" max="7" width="3.00390625" style="0" customWidth="1"/>
    <col min="8" max="8" width="11.00390625" style="0" customWidth="1"/>
    <col min="9" max="9" width="4.421875" style="0" customWidth="1"/>
    <col min="10" max="10" width="11.140625" style="0" customWidth="1"/>
    <col min="11" max="11" width="4.421875" style="0" customWidth="1"/>
    <col min="12" max="12" width="11.140625" style="0" customWidth="1"/>
    <col min="13" max="13" width="4.421875" style="0" customWidth="1"/>
    <col min="14" max="14" width="11.140625" style="0" customWidth="1"/>
    <col min="15" max="15" width="4.421875" style="0" customWidth="1"/>
    <col min="16" max="16" width="11.140625" style="0" customWidth="1"/>
    <col min="17" max="17" width="4.421875" style="0" customWidth="1"/>
    <col min="18" max="18" width="11.140625" style="0" customWidth="1"/>
    <col min="19" max="19" width="4.421875" style="0" customWidth="1"/>
    <col min="20" max="20" width="11.140625" style="0" customWidth="1"/>
    <col min="21" max="21" width="4.421875" style="0" customWidth="1"/>
    <col min="22" max="22" width="11.140625" style="0" customWidth="1"/>
  </cols>
  <sheetData>
    <row r="4" spans="1:22" ht="12.75">
      <c r="A4" s="5" t="s">
        <v>0</v>
      </c>
      <c r="B4" s="6"/>
      <c r="C4" s="12" t="s">
        <v>1</v>
      </c>
      <c r="D4" s="6">
        <f>+rendiconto!C2</f>
        <v>0</v>
      </c>
      <c r="E4" s="1"/>
      <c r="F4" s="1"/>
      <c r="G4" s="13" t="str">
        <f>+rendiconto!F2</f>
        <v>Brianza</v>
      </c>
      <c r="H4" s="2"/>
      <c r="I4" s="13"/>
      <c r="J4" s="2"/>
      <c r="K4" s="13"/>
      <c r="L4" s="2"/>
      <c r="M4" s="13"/>
      <c r="N4" s="2"/>
      <c r="O4" s="13"/>
      <c r="P4" s="2"/>
      <c r="Q4" s="13"/>
      <c r="R4" s="2"/>
      <c r="S4" s="13"/>
      <c r="T4" s="2"/>
      <c r="U4" s="13"/>
      <c r="V4" s="2"/>
    </row>
    <row r="5" spans="1:22" ht="12.75">
      <c r="A5" s="7" t="s">
        <v>2</v>
      </c>
      <c r="B5" s="8" t="str">
        <f>+riclassificazione!A2</f>
        <v>Minuterie metalliche</v>
      </c>
      <c r="C5" s="3"/>
      <c r="D5" s="3"/>
      <c r="E5" s="3"/>
      <c r="F5" s="8" t="s">
        <v>3</v>
      </c>
      <c r="G5" s="11">
        <f>+rendiconto!F3</f>
        <v>0</v>
      </c>
      <c r="H5" s="14"/>
      <c r="I5" s="11"/>
      <c r="J5" s="14"/>
      <c r="K5" s="11"/>
      <c r="L5" s="14"/>
      <c r="M5" s="11"/>
      <c r="N5" s="14"/>
      <c r="O5" s="11"/>
      <c r="P5" s="14"/>
      <c r="Q5" s="11"/>
      <c r="R5" s="14"/>
      <c r="S5" s="11"/>
      <c r="T5" s="14"/>
      <c r="U5" s="11"/>
      <c r="V5" s="14"/>
    </row>
    <row r="6" spans="1:22" ht="12.75">
      <c r="A6" s="23"/>
      <c r="B6" s="28"/>
      <c r="C6" s="9">
        <f>+riclassificazione!B3</f>
        <v>37256</v>
      </c>
      <c r="D6" s="10"/>
      <c r="E6" s="9">
        <f>+riclassificazione!D3</f>
        <v>37621</v>
      </c>
      <c r="F6" s="10"/>
      <c r="G6" s="9">
        <f>+riclassificazione!F3</f>
        <v>37986</v>
      </c>
      <c r="H6" s="10"/>
      <c r="I6" s="9">
        <f>+riclassificazione!H3</f>
        <v>38352</v>
      </c>
      <c r="J6" s="10"/>
      <c r="K6" s="9">
        <f>+riclassificazione!J3</f>
        <v>38717</v>
      </c>
      <c r="L6" s="10"/>
      <c r="M6" s="9">
        <f>+riclassificazione!L3</f>
        <v>39082</v>
      </c>
      <c r="N6" s="10"/>
      <c r="O6" s="9">
        <f>+riclassificazione!N3</f>
        <v>39447</v>
      </c>
      <c r="P6" s="10"/>
      <c r="Q6" s="9">
        <f>+riclassificazione!P3</f>
        <v>39813</v>
      </c>
      <c r="R6" s="10"/>
      <c r="S6" s="9">
        <f>+riclassificazione!R3</f>
        <v>40178</v>
      </c>
      <c r="T6" s="10"/>
      <c r="U6" s="9">
        <f>+riclassificazione!T3</f>
        <v>40543</v>
      </c>
      <c r="V6" s="10"/>
    </row>
    <row r="7" spans="1:22" ht="12.75">
      <c r="A7" s="16"/>
      <c r="B7" s="16" t="s">
        <v>222</v>
      </c>
      <c r="D7" s="16"/>
      <c r="F7" s="16"/>
      <c r="H7" s="16"/>
      <c r="J7" s="16"/>
      <c r="L7" s="16"/>
      <c r="N7" s="16"/>
      <c r="P7" s="16"/>
      <c r="R7" s="16"/>
      <c r="T7" s="16"/>
      <c r="V7" s="16"/>
    </row>
    <row r="8" spans="1:22" ht="12.75">
      <c r="A8" s="16"/>
      <c r="B8" s="16"/>
      <c r="D8" s="16"/>
      <c r="F8" s="16"/>
      <c r="H8" s="16"/>
      <c r="J8" s="16"/>
      <c r="L8" s="16"/>
      <c r="N8" s="16"/>
      <c r="P8" s="16"/>
      <c r="R8" s="16"/>
      <c r="T8" s="16"/>
      <c r="V8" s="16"/>
    </row>
    <row r="9" spans="1:22" ht="12.75">
      <c r="A9" s="16"/>
      <c r="B9" s="21" t="s">
        <v>223</v>
      </c>
      <c r="D9" s="16"/>
      <c r="F9" s="29">
        <f>SUM(F10:F13)-F14</f>
        <v>1744</v>
      </c>
      <c r="H9" s="29">
        <f>SUM(H10:H13)-H14</f>
        <v>1918</v>
      </c>
      <c r="J9" s="29">
        <f>SUM(J10:J13)-J14</f>
        <v>1873</v>
      </c>
      <c r="L9" s="29">
        <f>SUM(L10:L13)-L14</f>
        <v>1867</v>
      </c>
      <c r="N9" s="29">
        <f>SUM(N10:N13)-N14</f>
        <v>1345</v>
      </c>
      <c r="P9" s="29">
        <f>SUM(P10:P13)-P14</f>
        <v>1594</v>
      </c>
      <c r="R9" s="29">
        <f>SUM(R10:R13)-R14</f>
        <v>1610</v>
      </c>
      <c r="T9" s="29">
        <f>SUM(T10:T13)-T14</f>
        <v>1469</v>
      </c>
      <c r="V9" s="29">
        <f>SUM(V10:V13)-V14</f>
        <v>329</v>
      </c>
    </row>
    <row r="10" spans="1:22" ht="12.75">
      <c r="A10" s="16"/>
      <c r="B10" s="16" t="s">
        <v>224</v>
      </c>
      <c r="D10" s="16"/>
      <c r="F10" s="17">
        <f>+riclassificazione!D11-riclassificazione!B11+riclassificazione!D12-riclassificazione!B12</f>
        <v>378</v>
      </c>
      <c r="H10" s="17">
        <f>+riclassificazione!F11-riclassificazione!D11+riclassificazione!F12-riclassificazione!D12</f>
        <v>631</v>
      </c>
      <c r="J10" s="17">
        <f>+riclassificazione!H11-riclassificazione!F11+riclassificazione!H12-riclassificazione!F12</f>
        <v>553</v>
      </c>
      <c r="L10" s="17">
        <f>+riclassificazione!J11-riclassificazione!H11+riclassificazione!J12-riclassificazione!H12</f>
        <v>356</v>
      </c>
      <c r="N10" s="17">
        <f>+riclassificazione!L11-riclassificazione!J11+riclassificazione!L12-riclassificazione!J12</f>
        <v>-306</v>
      </c>
      <c r="P10" s="17">
        <f>+riclassificazione!N11-riclassificazione!L11+riclassificazione!N12-riclassificazione!L12</f>
        <v>583</v>
      </c>
      <c r="R10" s="17">
        <f>+riclassificazione!P11-riclassificazione!N11+riclassificazione!P12-riclassificazione!N12</f>
        <v>8925</v>
      </c>
      <c r="T10" s="17">
        <f>+riclassificazione!R11-riclassificazione!P11+riclassificazione!R12-riclassificazione!P12</f>
        <v>363</v>
      </c>
      <c r="V10" s="17">
        <f>+riclassificazione!T11-riclassificazione!R11+riclassificazione!T12-riclassificazione!R12</f>
        <v>-781</v>
      </c>
    </row>
    <row r="11" spans="1:22" ht="12.75">
      <c r="A11" s="16"/>
      <c r="B11" s="16" t="s">
        <v>225</v>
      </c>
      <c r="D11" s="16"/>
      <c r="F11" s="16"/>
      <c r="H11" s="16"/>
      <c r="J11" s="16"/>
      <c r="L11" s="16"/>
      <c r="N11" s="16"/>
      <c r="P11" s="16"/>
      <c r="R11" s="16"/>
      <c r="T11" s="16"/>
      <c r="V11" s="16"/>
    </row>
    <row r="12" spans="1:22" ht="12.75">
      <c r="A12" s="16"/>
      <c r="B12" s="16" t="s">
        <v>226</v>
      </c>
      <c r="D12" s="16"/>
      <c r="F12" s="17">
        <f>-riclassificazione!D125</f>
        <v>1366</v>
      </c>
      <c r="H12" s="17">
        <f>-riclassificazione!F125</f>
        <v>1287</v>
      </c>
      <c r="J12" s="17">
        <f>-riclassificazione!H125</f>
        <v>1320</v>
      </c>
      <c r="L12" s="17">
        <f>-riclassificazione!J125</f>
        <v>1511</v>
      </c>
      <c r="N12" s="17">
        <f>-riclassificazione!L125</f>
        <v>1651</v>
      </c>
      <c r="P12" s="17">
        <f>-riclassificazione!N125</f>
        <v>1011</v>
      </c>
      <c r="R12" s="17">
        <f>-riclassificazione!P125</f>
        <v>962</v>
      </c>
      <c r="T12" s="17">
        <f>-riclassificazione!R125</f>
        <v>1106</v>
      </c>
      <c r="V12" s="17">
        <f>-riclassificazione!T125</f>
        <v>1110</v>
      </c>
    </row>
    <row r="13" spans="1:22" ht="12.75">
      <c r="A13" s="16"/>
      <c r="B13" s="16" t="s">
        <v>227</v>
      </c>
      <c r="D13" s="16"/>
      <c r="F13" s="17">
        <f>-riclassificazione!D151</f>
        <v>0</v>
      </c>
      <c r="H13" s="17">
        <f>-riclassificazione!F151</f>
        <v>0</v>
      </c>
      <c r="J13" s="17">
        <f>-riclassificazione!H151</f>
        <v>0</v>
      </c>
      <c r="L13" s="17">
        <f>-riclassificazione!J151</f>
        <v>0</v>
      </c>
      <c r="N13" s="17">
        <f>-riclassificazione!L151</f>
        <v>0</v>
      </c>
      <c r="P13" s="17">
        <f>-riclassificazione!N151</f>
        <v>0</v>
      </c>
      <c r="R13" s="17">
        <f>-riclassificazione!P151</f>
        <v>0</v>
      </c>
      <c r="T13" s="17">
        <f>-riclassificazione!R151</f>
        <v>0</v>
      </c>
      <c r="V13" s="17">
        <f>-riclassificazione!T151</f>
        <v>0</v>
      </c>
    </row>
    <row r="14" spans="1:22" ht="12.75">
      <c r="A14" s="16"/>
      <c r="B14" s="16" t="s">
        <v>282</v>
      </c>
      <c r="D14" s="16"/>
      <c r="F14" s="17">
        <f>+riclassificazione!D58-riclassificazione!B58</f>
        <v>0</v>
      </c>
      <c r="H14" s="17">
        <f>+riclassificazione!F58-riclassificazione!D58</f>
        <v>0</v>
      </c>
      <c r="J14" s="17">
        <f>+riclassificazione!H58-riclassificazione!F58</f>
        <v>0</v>
      </c>
      <c r="L14" s="17">
        <f>+riclassificazione!J58-riclassificazione!H58</f>
        <v>0</v>
      </c>
      <c r="N14" s="17">
        <f>+riclassificazione!L58-riclassificazione!J58</f>
        <v>0</v>
      </c>
      <c r="P14" s="17">
        <f>+riclassificazione!N58-riclassificazione!L58</f>
        <v>0</v>
      </c>
      <c r="R14" s="17">
        <f>+riclassificazione!P58-riclassificazione!N58</f>
        <v>8277</v>
      </c>
      <c r="T14" s="17">
        <f>+riclassificazione!R58-riclassificazione!P58</f>
        <v>0</v>
      </c>
      <c r="V14" s="17">
        <f>+riclassificazione!T58-riclassificazione!R58</f>
        <v>0</v>
      </c>
    </row>
    <row r="15" spans="1:22" ht="12.75">
      <c r="A15" s="16"/>
      <c r="B15" s="16"/>
      <c r="D15" s="16"/>
      <c r="F15" s="16"/>
      <c r="H15" s="16"/>
      <c r="J15" s="16"/>
      <c r="L15" s="16"/>
      <c r="N15" s="16"/>
      <c r="P15" s="16"/>
      <c r="R15" s="16"/>
      <c r="T15" s="16"/>
      <c r="V15" s="16"/>
    </row>
    <row r="16" spans="1:22" ht="12.75">
      <c r="A16" s="16"/>
      <c r="B16" s="16" t="s">
        <v>192</v>
      </c>
      <c r="D16" s="16"/>
      <c r="F16" s="29">
        <f>SUM(F17:F18)</f>
        <v>331</v>
      </c>
      <c r="H16" s="29">
        <f>SUM(H17:H18)</f>
        <v>303</v>
      </c>
      <c r="J16" s="29">
        <f>SUM(J17:J18)</f>
        <v>191</v>
      </c>
      <c r="L16" s="29">
        <f>SUM(L17:L18)</f>
        <v>194</v>
      </c>
      <c r="N16" s="29">
        <f>SUM(N17:N18)</f>
        <v>98</v>
      </c>
      <c r="P16" s="29">
        <f>SUM(P17:P18)</f>
        <v>131</v>
      </c>
      <c r="R16" s="29">
        <f>SUM(R17:R18)</f>
        <v>161</v>
      </c>
      <c r="T16" s="29">
        <f>SUM(T17:T18)</f>
        <v>43</v>
      </c>
      <c r="V16" s="29">
        <f>SUM(V17:V18)</f>
        <v>-1</v>
      </c>
    </row>
    <row r="17" spans="1:22" ht="12.75">
      <c r="A17" s="16"/>
      <c r="B17" s="16" t="s">
        <v>228</v>
      </c>
      <c r="D17" s="16"/>
      <c r="F17" s="17">
        <f>+riclassificazione!D6-riclassificazione!B6</f>
        <v>201</v>
      </c>
      <c r="H17" s="17">
        <f>+riclassificazione!F6-riclassificazione!D6</f>
        <v>111</v>
      </c>
      <c r="J17" s="17">
        <f>+riclassificazione!H6-riclassificazione!F6</f>
        <v>-16</v>
      </c>
      <c r="L17" s="17">
        <f>+riclassificazione!J6-riclassificazione!H6</f>
        <v>-10</v>
      </c>
      <c r="N17" s="17">
        <f>+riclassificazione!L6-riclassificazione!J6</f>
        <v>-122</v>
      </c>
      <c r="P17" s="17">
        <f>+riclassificazione!N6-riclassificazione!L6</f>
        <v>-84</v>
      </c>
      <c r="R17" s="17">
        <f>+riclassificazione!P6-riclassificazione!N6</f>
        <v>8</v>
      </c>
      <c r="T17" s="17">
        <f>+riclassificazione!R6-riclassificazione!P6</f>
        <v>-84</v>
      </c>
      <c r="V17" s="17">
        <f>+riclassificazione!T6-riclassificazione!R6</f>
        <v>-104</v>
      </c>
    </row>
    <row r="18" spans="1:22" ht="12.75">
      <c r="A18" s="16"/>
      <c r="B18" s="16" t="s">
        <v>176</v>
      </c>
      <c r="D18" s="16"/>
      <c r="F18" s="17">
        <f>-riclassificazione!D132</f>
        <v>130</v>
      </c>
      <c r="H18" s="17">
        <f>-riclassificazione!F132</f>
        <v>192</v>
      </c>
      <c r="J18" s="17">
        <f>-riclassificazione!H132</f>
        <v>207</v>
      </c>
      <c r="L18" s="17">
        <f>-riclassificazione!J132</f>
        <v>204</v>
      </c>
      <c r="N18" s="17">
        <f>-riclassificazione!L132</f>
        <v>220</v>
      </c>
      <c r="P18" s="17">
        <f>-riclassificazione!N132</f>
        <v>215</v>
      </c>
      <c r="R18" s="17">
        <f>-riclassificazione!P132</f>
        <v>153</v>
      </c>
      <c r="T18" s="17">
        <f>-riclassificazione!R132</f>
        <v>127</v>
      </c>
      <c r="V18" s="17">
        <f>-riclassificazione!T132</f>
        <v>103</v>
      </c>
    </row>
    <row r="19" spans="1:22" ht="12.75">
      <c r="A19" s="16"/>
      <c r="B19" s="16"/>
      <c r="D19" s="16"/>
      <c r="F19" s="16"/>
      <c r="H19" s="16"/>
      <c r="J19" s="16"/>
      <c r="L19" s="16"/>
      <c r="N19" s="16"/>
      <c r="P19" s="16"/>
      <c r="R19" s="16"/>
      <c r="T19" s="16"/>
      <c r="V19" s="16"/>
    </row>
    <row r="20" spans="1:22" ht="12.75">
      <c r="A20" s="16"/>
      <c r="B20" s="16" t="s">
        <v>229</v>
      </c>
      <c r="D20" s="16"/>
      <c r="F20" s="16">
        <f>SUM(F21:F22)</f>
        <v>0</v>
      </c>
      <c r="H20" s="16">
        <f>SUM(H21:H22)</f>
        <v>0</v>
      </c>
      <c r="J20" s="16">
        <f>SUM(J21:J22)</f>
        <v>0</v>
      </c>
      <c r="L20" s="16">
        <f>SUM(L21:L22)</f>
        <v>0</v>
      </c>
      <c r="N20" s="16">
        <f>SUM(N21:N22)</f>
        <v>0</v>
      </c>
      <c r="P20" s="16">
        <f>SUM(P21:P22)</f>
        <v>0</v>
      </c>
      <c r="R20" s="16">
        <f>SUM(R21:R22)</f>
        <v>0</v>
      </c>
      <c r="T20" s="16">
        <f>SUM(T21:T22)</f>
        <v>0</v>
      </c>
      <c r="V20" s="16">
        <f>SUM(V21:V22)</f>
        <v>0</v>
      </c>
    </row>
    <row r="21" spans="1:22" ht="12.75">
      <c r="A21" s="16"/>
      <c r="B21" s="16" t="s">
        <v>230</v>
      </c>
      <c r="D21" s="16"/>
      <c r="F21" s="16"/>
      <c r="H21" s="16"/>
      <c r="J21" s="16"/>
      <c r="L21" s="16"/>
      <c r="N21" s="16"/>
      <c r="P21" s="16"/>
      <c r="R21" s="16"/>
      <c r="T21" s="16"/>
      <c r="V21" s="16"/>
    </row>
    <row r="22" spans="1:22" ht="12.75">
      <c r="A22" s="16"/>
      <c r="B22" s="16" t="s">
        <v>231</v>
      </c>
      <c r="D22" s="16"/>
      <c r="F22" s="17">
        <f>+riclassificazione!D14-riclassificazione!B14</f>
        <v>0</v>
      </c>
      <c r="H22" s="17">
        <f>+riclassificazione!F14-riclassificazione!D14</f>
        <v>0</v>
      </c>
      <c r="J22" s="17">
        <f>+riclassificazione!H14-riclassificazione!F14</f>
        <v>0</v>
      </c>
      <c r="L22" s="17">
        <f>+riclassificazione!J14-riclassificazione!H14</f>
        <v>0</v>
      </c>
      <c r="N22" s="17">
        <f>+riclassificazione!L14-riclassificazione!J14</f>
        <v>0</v>
      </c>
      <c r="P22" s="17">
        <f>+riclassificazione!N14-riclassificazione!L14</f>
        <v>0</v>
      </c>
      <c r="R22" s="17">
        <f>+riclassificazione!P14-riclassificazione!N14</f>
        <v>0</v>
      </c>
      <c r="T22" s="17">
        <f>+riclassificazione!R14-riclassificazione!P14</f>
        <v>0</v>
      </c>
      <c r="V22" s="17">
        <f>+riclassificazione!T14-riclassificazione!R14</f>
        <v>0</v>
      </c>
    </row>
    <row r="23" spans="1:22" ht="12.75">
      <c r="A23" s="16"/>
      <c r="B23" s="16"/>
      <c r="D23" s="16"/>
      <c r="F23" s="16"/>
      <c r="H23" s="16"/>
      <c r="J23" s="16"/>
      <c r="L23" s="16"/>
      <c r="N23" s="16"/>
      <c r="P23" s="16"/>
      <c r="R23" s="16"/>
      <c r="T23" s="16"/>
      <c r="V23" s="16"/>
    </row>
    <row r="24" spans="1:22" ht="12.75">
      <c r="A24" s="16"/>
      <c r="B24" s="16" t="s">
        <v>232</v>
      </c>
      <c r="D24" s="16"/>
      <c r="F24" s="16"/>
      <c r="H24" s="16"/>
      <c r="J24" s="16"/>
      <c r="L24" s="16"/>
      <c r="N24" s="16"/>
      <c r="P24" s="16"/>
      <c r="R24" s="16"/>
      <c r="T24" s="16"/>
      <c r="V24" s="16"/>
    </row>
    <row r="25" spans="1:22" ht="12.75">
      <c r="A25" s="16"/>
      <c r="B25" s="16" t="s">
        <v>233</v>
      </c>
      <c r="D25" s="16"/>
      <c r="F25" s="16"/>
      <c r="H25" s="16"/>
      <c r="J25" s="16"/>
      <c r="L25" s="16"/>
      <c r="N25" s="16"/>
      <c r="P25" s="16"/>
      <c r="R25" s="16"/>
      <c r="T25" s="16"/>
      <c r="V25" s="16"/>
    </row>
    <row r="26" spans="1:22" ht="12.75">
      <c r="A26" s="16"/>
      <c r="B26" s="16" t="s">
        <v>234</v>
      </c>
      <c r="D26" s="16"/>
      <c r="F26" s="16"/>
      <c r="H26" s="16"/>
      <c r="J26" s="16"/>
      <c r="L26" s="16"/>
      <c r="N26" s="16"/>
      <c r="P26" s="16"/>
      <c r="R26" s="16"/>
      <c r="T26" s="16"/>
      <c r="V26" s="16"/>
    </row>
    <row r="27" spans="1:22" ht="12.75">
      <c r="A27" s="16"/>
      <c r="B27" s="16"/>
      <c r="D27" s="16"/>
      <c r="F27" s="16"/>
      <c r="H27" s="16"/>
      <c r="J27" s="16"/>
      <c r="L27" s="16"/>
      <c r="N27" s="16"/>
      <c r="P27" s="16"/>
      <c r="R27" s="16"/>
      <c r="T27" s="16"/>
      <c r="V27" s="16"/>
    </row>
    <row r="28" spans="1:22" ht="12.75">
      <c r="A28" s="16"/>
      <c r="B28" s="16" t="s">
        <v>235</v>
      </c>
      <c r="D28" s="16"/>
      <c r="F28" s="16"/>
      <c r="H28" s="16"/>
      <c r="J28" s="16"/>
      <c r="L28" s="16"/>
      <c r="N28" s="16"/>
      <c r="P28" s="16"/>
      <c r="R28" s="16"/>
      <c r="T28" s="16"/>
      <c r="V28" s="16"/>
    </row>
    <row r="29" spans="1:22" ht="12.75">
      <c r="A29" s="16"/>
      <c r="B29" s="16" t="s">
        <v>236</v>
      </c>
      <c r="D29" s="16"/>
      <c r="F29" s="16"/>
      <c r="H29" s="16"/>
      <c r="J29" s="16"/>
      <c r="L29" s="16"/>
      <c r="N29" s="16"/>
      <c r="P29" s="16"/>
      <c r="R29" s="16"/>
      <c r="T29" s="16"/>
      <c r="V29" s="16"/>
    </row>
    <row r="30" spans="1:22" ht="12.75">
      <c r="A30" s="16"/>
      <c r="B30" s="16" t="s">
        <v>233</v>
      </c>
      <c r="D30" s="16"/>
      <c r="F30" s="16"/>
      <c r="H30" s="16"/>
      <c r="J30" s="16"/>
      <c r="L30" s="16"/>
      <c r="N30" s="16"/>
      <c r="P30" s="16"/>
      <c r="R30" s="16"/>
      <c r="T30" s="16"/>
      <c r="V30" s="16"/>
    </row>
    <row r="31" spans="1:22" ht="12.75">
      <c r="A31" s="16"/>
      <c r="B31" s="16"/>
      <c r="D31" s="16"/>
      <c r="F31" s="16"/>
      <c r="H31" s="16"/>
      <c r="J31" s="16"/>
      <c r="L31" s="16"/>
      <c r="N31" s="16"/>
      <c r="P31" s="16"/>
      <c r="R31" s="16"/>
      <c r="T31" s="16"/>
      <c r="V31" s="16"/>
    </row>
    <row r="32" spans="1:22" ht="12.75">
      <c r="A32" s="16"/>
      <c r="B32" s="16" t="s">
        <v>237</v>
      </c>
      <c r="D32" s="16"/>
      <c r="F32" s="16"/>
      <c r="H32" s="16"/>
      <c r="J32" s="16"/>
      <c r="L32" s="16"/>
      <c r="N32" s="16"/>
      <c r="P32" s="16"/>
      <c r="R32" s="16"/>
      <c r="T32" s="16"/>
      <c r="V32" s="16"/>
    </row>
    <row r="33" spans="1:22" ht="12.75">
      <c r="A33" s="16"/>
      <c r="B33" s="16" t="s">
        <v>238</v>
      </c>
      <c r="D33" s="16"/>
      <c r="F33" s="16"/>
      <c r="H33" s="16"/>
      <c r="J33" s="16"/>
      <c r="L33" s="16"/>
      <c r="N33" s="16"/>
      <c r="P33" s="16"/>
      <c r="R33" s="16"/>
      <c r="T33" s="16"/>
      <c r="V33" s="16"/>
    </row>
    <row r="34" spans="1:22" ht="12.75">
      <c r="A34" s="16"/>
      <c r="B34" s="16" t="s">
        <v>239</v>
      </c>
      <c r="D34" s="16"/>
      <c r="F34" s="16"/>
      <c r="H34" s="16"/>
      <c r="J34" s="16"/>
      <c r="L34" s="16"/>
      <c r="N34" s="16"/>
      <c r="P34" s="16"/>
      <c r="R34" s="16"/>
      <c r="T34" s="16"/>
      <c r="V34" s="16"/>
    </row>
    <row r="35" spans="1:22" ht="12.75">
      <c r="A35" s="16"/>
      <c r="B35" s="16"/>
      <c r="D35" s="16"/>
      <c r="F35" s="16"/>
      <c r="H35" s="16"/>
      <c r="J35" s="16"/>
      <c r="L35" s="16"/>
      <c r="N35" s="16"/>
      <c r="P35" s="16"/>
      <c r="R35" s="16"/>
      <c r="T35" s="16"/>
      <c r="V35" s="16"/>
    </row>
    <row r="36" spans="1:22" ht="12.75">
      <c r="A36" s="16"/>
      <c r="B36" s="16" t="s">
        <v>240</v>
      </c>
      <c r="D36" s="16"/>
      <c r="F36" s="16"/>
      <c r="H36" s="16"/>
      <c r="J36" s="16"/>
      <c r="L36" s="16"/>
      <c r="N36" s="16"/>
      <c r="P36" s="16"/>
      <c r="R36" s="16"/>
      <c r="T36" s="16"/>
      <c r="V36" s="16"/>
    </row>
    <row r="37" spans="1:22" ht="12.75">
      <c r="A37" s="16"/>
      <c r="B37" s="16" t="s">
        <v>241</v>
      </c>
      <c r="D37" s="17" t="e">
        <f>+riclassificazione!B70-riclassificazione!B66-riclassificazione!#REF!</f>
        <v>#REF!</v>
      </c>
      <c r="F37" s="17">
        <f>+riclassificazione!D70-riclassificazione!D66-riclassificazione!B70</f>
        <v>1467</v>
      </c>
      <c r="H37" s="17">
        <f>+riclassificazione!F70-riclassificazione!F66-riclassificazione!D70</f>
        <v>-102</v>
      </c>
      <c r="J37" s="17">
        <f>+riclassificazione!H70-riclassificazione!H66-riclassificazione!F70</f>
        <v>-191</v>
      </c>
      <c r="L37" s="17">
        <f>+riclassificazione!J70-riclassificazione!J66-riclassificazione!H70</f>
        <v>-53</v>
      </c>
      <c r="N37" s="17">
        <f>+riclassificazione!L70-riclassificazione!L66-riclassificazione!J70</f>
        <v>-972</v>
      </c>
      <c r="P37" s="17">
        <f>+riclassificazione!N70-riclassificazione!N66-riclassificazione!L70</f>
        <v>1021</v>
      </c>
      <c r="R37" s="17">
        <f>+riclassificazione!P70-riclassificazione!P66-riclassificazione!N70</f>
        <v>7733</v>
      </c>
      <c r="T37" s="17">
        <f>+riclassificazione!R70-riclassificazione!R66-riclassificazione!P70</f>
        <v>-764</v>
      </c>
      <c r="V37" s="17">
        <f>+riclassificazione!T70-riclassificazione!T66-riclassificazione!R70</f>
        <v>-10244</v>
      </c>
    </row>
    <row r="38" spans="1:22" ht="12.75">
      <c r="A38" s="16"/>
      <c r="B38" s="16" t="s">
        <v>281</v>
      </c>
      <c r="D38" s="17"/>
      <c r="F38" s="17">
        <f>+F14</f>
        <v>0</v>
      </c>
      <c r="H38" s="17">
        <f>+H14</f>
        <v>0</v>
      </c>
      <c r="J38" s="17">
        <f>+J14</f>
        <v>0</v>
      </c>
      <c r="L38" s="17">
        <f>+L14</f>
        <v>0</v>
      </c>
      <c r="N38" s="17">
        <f>+N14</f>
        <v>0</v>
      </c>
      <c r="P38" s="17">
        <f>+P14</f>
        <v>0</v>
      </c>
      <c r="R38" s="17">
        <f>+R14</f>
        <v>8277</v>
      </c>
      <c r="T38" s="17">
        <f>+T14</f>
        <v>0</v>
      </c>
      <c r="V38" s="17">
        <f>+V14</f>
        <v>0</v>
      </c>
    </row>
    <row r="39" spans="1:22" ht="12.75">
      <c r="A39" s="16"/>
      <c r="B39" s="16" t="s">
        <v>242</v>
      </c>
      <c r="D39" s="17">
        <f>+riclassificazione!B65</f>
        <v>29</v>
      </c>
      <c r="F39" s="17">
        <f>+riclassificazione!D65</f>
        <v>36</v>
      </c>
      <c r="H39" s="17">
        <f>+riclassificazione!F65</f>
        <v>-102</v>
      </c>
      <c r="J39" s="17">
        <f>+riclassificazione!H65</f>
        <v>-191</v>
      </c>
      <c r="L39" s="17">
        <f>+riclassificazione!J65</f>
        <v>-53</v>
      </c>
      <c r="N39" s="17">
        <f>+riclassificazione!L65</f>
        <v>-972</v>
      </c>
      <c r="P39" s="17">
        <f>+riclassificazione!N65</f>
        <v>57</v>
      </c>
      <c r="R39" s="17">
        <f>+riclassificazione!P65</f>
        <v>-544</v>
      </c>
      <c r="T39" s="17">
        <f>+riclassificazione!R65</f>
        <v>-764</v>
      </c>
      <c r="V39" s="17">
        <f>+riclassificazione!T65</f>
        <v>-10244</v>
      </c>
    </row>
    <row r="40" spans="1:22" ht="12.75">
      <c r="A40" s="16"/>
      <c r="B40" s="16" t="s">
        <v>283</v>
      </c>
      <c r="D40" s="17" t="e">
        <f>+D37-D39</f>
        <v>#REF!</v>
      </c>
      <c r="F40" s="17">
        <f>+F37-F39-F38</f>
        <v>1431</v>
      </c>
      <c r="H40" s="17">
        <f>+H37-H39-H38</f>
        <v>0</v>
      </c>
      <c r="J40" s="17">
        <f>+J37-J39-J38</f>
        <v>0</v>
      </c>
      <c r="L40" s="17">
        <f>+L37-L39-L38</f>
        <v>0</v>
      </c>
      <c r="N40" s="17">
        <f>+N37-N39-N38</f>
        <v>0</v>
      </c>
      <c r="P40" s="17">
        <f>+P37-P39-P38</f>
        <v>964</v>
      </c>
      <c r="R40" s="17">
        <f>+R37-R39-R38</f>
        <v>0</v>
      </c>
      <c r="T40" s="17">
        <f>+T37-T39-T38</f>
        <v>0</v>
      </c>
      <c r="V40" s="17">
        <f>+V37-V39-V38</f>
        <v>0</v>
      </c>
    </row>
    <row r="42" spans="2:22" ht="12.75">
      <c r="B42" t="s">
        <v>250</v>
      </c>
      <c r="D42" s="20" t="e">
        <f>+D40-D41</f>
        <v>#REF!</v>
      </c>
      <c r="F42" s="20">
        <f>+F40-F41</f>
        <v>1431</v>
      </c>
      <c r="H42" s="20">
        <f>+H40-H41</f>
        <v>0</v>
      </c>
      <c r="J42" s="20">
        <f>+J40-J41</f>
        <v>0</v>
      </c>
      <c r="L42" s="20">
        <f>+L40-L41</f>
        <v>0</v>
      </c>
      <c r="N42" s="20">
        <f>+N40-N41</f>
        <v>0</v>
      </c>
      <c r="P42" s="20">
        <f>+P40-P41</f>
        <v>964</v>
      </c>
      <c r="R42" s="20">
        <f>+R40-R41</f>
        <v>0</v>
      </c>
      <c r="T42" s="20">
        <f>+T40-T41</f>
        <v>0</v>
      </c>
      <c r="V42" s="20">
        <f>+V40-V41</f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paperSize="9" scale="47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1" sqref="A41"/>
    </sheetView>
  </sheetViews>
  <sheetFormatPr defaultColWidth="9.140625" defaultRowHeight="12.75"/>
  <cols>
    <col min="1" max="1" width="48.7109375" style="0" customWidth="1"/>
    <col min="2" max="2" width="2.8515625" style="0" customWidth="1"/>
    <col min="3" max="3" width="7.28125" style="0" customWidth="1"/>
    <col min="4" max="4" width="2.57421875" style="0" customWidth="1"/>
    <col min="5" max="5" width="8.00390625" style="0" customWidth="1"/>
    <col min="6" max="6" width="2.8515625" style="0" customWidth="1"/>
    <col min="7" max="7" width="7.8515625" style="0" customWidth="1"/>
    <col min="8" max="8" width="2.7109375" style="0" customWidth="1"/>
    <col min="9" max="9" width="7.57421875" style="0" customWidth="1"/>
    <col min="10" max="10" width="2.7109375" style="0" customWidth="1"/>
    <col min="11" max="11" width="7.57421875" style="0" customWidth="1"/>
    <col min="12" max="12" width="2.8515625" style="0" customWidth="1"/>
    <col min="13" max="13" width="7.7109375" style="0" customWidth="1"/>
    <col min="14" max="14" width="2.57421875" style="0" customWidth="1"/>
    <col min="15" max="15" width="7.7109375" style="0" customWidth="1"/>
    <col min="16" max="16" width="2.421875" style="0" customWidth="1"/>
    <col min="17" max="17" width="7.421875" style="0" customWidth="1"/>
    <col min="18" max="18" width="2.57421875" style="0" customWidth="1"/>
    <col min="19" max="19" width="7.8515625" style="0" customWidth="1"/>
    <col min="20" max="20" width="2.140625" style="0" customWidth="1"/>
    <col min="21" max="21" width="7.421875" style="0" customWidth="1"/>
  </cols>
  <sheetData>
    <row r="1" spans="1:21" ht="12.75">
      <c r="A1" s="221" t="s">
        <v>24</v>
      </c>
      <c r="B1" s="221"/>
      <c r="C1" s="221"/>
      <c r="D1" s="221"/>
      <c r="E1" s="221"/>
      <c r="F1" s="221" t="str">
        <f>+riclassificazione!F1</f>
        <v>Brianza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2.75">
      <c r="A2" s="221" t="str">
        <f>+riclassificazione!A2</f>
        <v>Minuterie metalliche</v>
      </c>
      <c r="B2" s="221"/>
      <c r="C2" s="221"/>
      <c r="D2" s="221"/>
      <c r="E2" s="221" t="s">
        <v>3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12.75">
      <c r="A3" s="230" t="s">
        <v>326</v>
      </c>
      <c r="B3" s="77">
        <f>+riclassificazione!B3</f>
        <v>37256</v>
      </c>
      <c r="C3" s="78"/>
      <c r="D3" s="77">
        <f>+riclassificazione!D3</f>
        <v>37621</v>
      </c>
      <c r="E3" s="78"/>
      <c r="F3" s="77">
        <f>+riclassificazione!F3</f>
        <v>37986</v>
      </c>
      <c r="G3" s="78"/>
      <c r="H3" s="77">
        <f>+riclassificazione!H3</f>
        <v>38352</v>
      </c>
      <c r="I3" s="78"/>
      <c r="J3" s="77">
        <f>+riclassificazione!J3</f>
        <v>38717</v>
      </c>
      <c r="K3" s="78"/>
      <c r="L3" s="77">
        <f>+riclassificazione!L3</f>
        <v>39082</v>
      </c>
      <c r="M3" s="78"/>
      <c r="N3" s="77">
        <f>+riclassificazione!N3</f>
        <v>39447</v>
      </c>
      <c r="O3" s="78"/>
      <c r="P3" s="77">
        <f>+riclassificazione!P3</f>
        <v>39813</v>
      </c>
      <c r="Q3" s="78"/>
      <c r="R3" s="77">
        <f>+riclassificazione!R3</f>
        <v>40178</v>
      </c>
      <c r="S3" s="78"/>
      <c r="T3" s="77">
        <f>+riclassificazione!T3</f>
        <v>40543</v>
      </c>
      <c r="U3" s="78"/>
    </row>
    <row r="4" spans="1:21" ht="12.75">
      <c r="A4" s="79" t="s">
        <v>173</v>
      </c>
      <c r="B4" s="80"/>
      <c r="C4" s="81"/>
      <c r="D4" s="80"/>
      <c r="E4" s="81"/>
      <c r="F4" s="80"/>
      <c r="G4" s="81"/>
      <c r="H4" s="80"/>
      <c r="I4" s="81"/>
      <c r="J4" s="80"/>
      <c r="K4" s="81"/>
      <c r="L4" s="80"/>
      <c r="M4" s="81"/>
      <c r="N4" s="80"/>
      <c r="O4" s="81"/>
      <c r="P4" s="80"/>
      <c r="Q4" s="81"/>
      <c r="R4" s="80"/>
      <c r="S4" s="81"/>
      <c r="T4" s="80"/>
      <c r="U4" s="81"/>
    </row>
    <row r="5" spans="1:21" ht="12.75">
      <c r="A5" s="82" t="s">
        <v>174</v>
      </c>
      <c r="B5" s="80"/>
      <c r="C5" s="81"/>
      <c r="D5" s="80"/>
      <c r="E5" s="81"/>
      <c r="F5" s="80"/>
      <c r="G5" s="81"/>
      <c r="H5" s="80"/>
      <c r="I5" s="81"/>
      <c r="J5" s="80"/>
      <c r="K5" s="81"/>
      <c r="L5" s="80"/>
      <c r="M5" s="81"/>
      <c r="N5" s="80"/>
      <c r="O5" s="81"/>
      <c r="P5" s="80"/>
      <c r="Q5" s="81"/>
      <c r="R5" s="80"/>
      <c r="S5" s="81"/>
      <c r="T5" s="80"/>
      <c r="U5" s="81"/>
    </row>
    <row r="6" spans="1:21" ht="14.25" customHeight="1">
      <c r="A6" s="83" t="s">
        <v>335</v>
      </c>
      <c r="B6" s="80"/>
      <c r="C6" s="84">
        <v>379</v>
      </c>
      <c r="D6" s="80"/>
      <c r="E6" s="84">
        <f>+riclassificazione!D146-riclassificazione!D139-riclassificazione!D135-riclassificazione!D136</f>
        <v>428</v>
      </c>
      <c r="F6" s="80"/>
      <c r="G6" s="85">
        <f>+riclassificazione!F146-riclassificazione!F139-riclassificazione!F135-riclassificazione!F136</f>
        <v>439</v>
      </c>
      <c r="H6" s="80"/>
      <c r="I6" s="85">
        <f>+riclassificazione!H146-riclassificazione!H139-riclassificazione!H135-riclassificazione!H136</f>
        <v>363</v>
      </c>
      <c r="J6" s="80"/>
      <c r="K6" s="85">
        <f>+riclassificazione!J146-riclassificazione!J139-riclassificazione!J135-riclassificazione!J136</f>
        <v>53</v>
      </c>
      <c r="L6" s="80"/>
      <c r="M6" s="85">
        <f>+riclassificazione!L146-riclassificazione!L139-riclassificazione!L135-riclassificazione!L136</f>
        <v>-379</v>
      </c>
      <c r="N6" s="80"/>
      <c r="O6" s="85">
        <f>+riclassificazione!N146-riclassificazione!N139-riclassificazione!N135-riclassificazione!N136</f>
        <v>825</v>
      </c>
      <c r="P6" s="80"/>
      <c r="Q6" s="85">
        <f>+riclassificazione!P146-riclassificazione!P139-riclassificazione!P135-riclassificazione!P136</f>
        <v>243</v>
      </c>
      <c r="R6" s="80"/>
      <c r="S6" s="85">
        <f>+riclassificazione!R146-riclassificazione!R139-riclassificazione!R135-riclassificazione!R136</f>
        <v>-118</v>
      </c>
      <c r="T6" s="80"/>
      <c r="U6" s="85">
        <f>+riclassificazione!T146-riclassificazione!T139-riclassificazione!T135-riclassificazione!T136</f>
        <v>-9570</v>
      </c>
    </row>
    <row r="7" spans="1:21" ht="12.75">
      <c r="A7" s="81"/>
      <c r="B7" s="80"/>
      <c r="C7" s="81"/>
      <c r="D7" s="80"/>
      <c r="E7" s="81"/>
      <c r="F7" s="80"/>
      <c r="G7" s="81"/>
      <c r="H7" s="80"/>
      <c r="I7" s="81"/>
      <c r="J7" s="80"/>
      <c r="K7" s="81"/>
      <c r="L7" s="80"/>
      <c r="M7" s="81"/>
      <c r="N7" s="80"/>
      <c r="O7" s="81"/>
      <c r="P7" s="80"/>
      <c r="Q7" s="81"/>
      <c r="R7" s="80"/>
      <c r="S7" s="81"/>
      <c r="T7" s="80"/>
      <c r="U7" s="81"/>
    </row>
    <row r="8" spans="1:21" ht="12.75">
      <c r="A8" s="81" t="s">
        <v>175</v>
      </c>
      <c r="B8" s="80"/>
      <c r="C8" s="81"/>
      <c r="D8" s="80"/>
      <c r="E8" s="81"/>
      <c r="F8" s="80"/>
      <c r="G8" s="81"/>
      <c r="H8" s="80"/>
      <c r="I8" s="81"/>
      <c r="J8" s="80"/>
      <c r="K8" s="81"/>
      <c r="L8" s="80"/>
      <c r="M8" s="81"/>
      <c r="N8" s="80"/>
      <c r="O8" s="81"/>
      <c r="P8" s="80"/>
      <c r="Q8" s="81"/>
      <c r="R8" s="80"/>
      <c r="S8" s="81"/>
      <c r="T8" s="80"/>
      <c r="U8" s="81"/>
    </row>
    <row r="9" spans="1:21" ht="12.75">
      <c r="A9" s="81" t="s">
        <v>176</v>
      </c>
      <c r="B9" s="80"/>
      <c r="C9" s="86">
        <v>668</v>
      </c>
      <c r="D9" s="80"/>
      <c r="E9" s="86">
        <f>-riclassificazione!D125-riclassificazione!D132</f>
        <v>1496</v>
      </c>
      <c r="F9" s="80"/>
      <c r="G9" s="86">
        <f>-riclassificazione!F125-riclassificazione!F132</f>
        <v>1479</v>
      </c>
      <c r="H9" s="80"/>
      <c r="I9" s="86">
        <f>-riclassificazione!H125-riclassificazione!H132</f>
        <v>1527</v>
      </c>
      <c r="J9" s="80"/>
      <c r="K9" s="86">
        <f>-riclassificazione!J125-riclassificazione!J132</f>
        <v>1715</v>
      </c>
      <c r="L9" s="80"/>
      <c r="M9" s="86">
        <f>-riclassificazione!L125-riclassificazione!L132</f>
        <v>1871</v>
      </c>
      <c r="N9" s="80"/>
      <c r="O9" s="86">
        <f>-riclassificazione!N125-riclassificazione!N132</f>
        <v>1226</v>
      </c>
      <c r="P9" s="80"/>
      <c r="Q9" s="86">
        <f>-riclassificazione!P125-riclassificazione!P132</f>
        <v>1115</v>
      </c>
      <c r="R9" s="80"/>
      <c r="S9" s="86">
        <f>-riclassificazione!R125-riclassificazione!R132</f>
        <v>1233</v>
      </c>
      <c r="T9" s="80"/>
      <c r="U9" s="86">
        <f>-riclassificazione!T125-riclassificazione!T132</f>
        <v>1213</v>
      </c>
    </row>
    <row r="10" spans="1:21" ht="12.75">
      <c r="A10" s="81" t="s">
        <v>177</v>
      </c>
      <c r="B10" s="80"/>
      <c r="C10" s="87">
        <v>-4</v>
      </c>
      <c r="D10" s="80"/>
      <c r="E10" s="86">
        <f>+riclassificazione!D72-riclassificazione!B72</f>
        <v>0</v>
      </c>
      <c r="F10" s="80"/>
      <c r="G10" s="87">
        <f>+riclassificazione!F72-riclassificazione!D72</f>
        <v>0</v>
      </c>
      <c r="H10" s="80"/>
      <c r="I10" s="87">
        <f>+riclassificazione!H72-riclassificazione!F72</f>
        <v>0</v>
      </c>
      <c r="J10" s="80"/>
      <c r="K10" s="87">
        <f>+riclassificazione!J72-riclassificazione!H72</f>
        <v>0</v>
      </c>
      <c r="L10" s="80"/>
      <c r="M10" s="87">
        <f>+riclassificazione!L72-riclassificazione!J72</f>
        <v>0</v>
      </c>
      <c r="N10" s="80"/>
      <c r="O10" s="87">
        <f>+riclassificazione!N72-riclassificazione!L72</f>
        <v>0</v>
      </c>
      <c r="P10" s="80"/>
      <c r="Q10" s="87">
        <f>+riclassificazione!P72-riclassificazione!N72</f>
        <v>0</v>
      </c>
      <c r="R10" s="80"/>
      <c r="S10" s="87">
        <f>+riclassificazione!R72-riclassificazione!P72</f>
        <v>0</v>
      </c>
      <c r="T10" s="80"/>
      <c r="U10" s="87">
        <f>+riclassificazione!T72-riclassificazione!R72</f>
        <v>0</v>
      </c>
    </row>
    <row r="11" spans="1:21" ht="12.75">
      <c r="A11" s="81" t="s">
        <v>178</v>
      </c>
      <c r="B11" s="80"/>
      <c r="C11" s="87">
        <v>-19</v>
      </c>
      <c r="D11" s="80"/>
      <c r="E11" s="87">
        <f>+riclassificazione!D74-riclassificazione!B74</f>
        <v>-41</v>
      </c>
      <c r="F11" s="80"/>
      <c r="G11" s="87">
        <f>+riclassificazione!F74-riclassificazione!D74</f>
        <v>19</v>
      </c>
      <c r="H11" s="80"/>
      <c r="I11" s="87">
        <f>+riclassificazione!H74-riclassificazione!F74</f>
        <v>95</v>
      </c>
      <c r="J11" s="80"/>
      <c r="K11" s="87">
        <f>+riclassificazione!J74-riclassificazione!H74</f>
        <v>127</v>
      </c>
      <c r="L11" s="80"/>
      <c r="M11" s="87">
        <f>+riclassificazione!L74-riclassificazione!J74</f>
        <v>102</v>
      </c>
      <c r="N11" s="80"/>
      <c r="O11" s="87">
        <f>+riclassificazione!N74-riclassificazione!L74</f>
        <v>49</v>
      </c>
      <c r="P11" s="80"/>
      <c r="Q11" s="87">
        <f>+riclassificazione!P74-riclassificazione!N74</f>
        <v>-49</v>
      </c>
      <c r="R11" s="80"/>
      <c r="S11" s="87">
        <f>+riclassificazione!R74-riclassificazione!P74</f>
        <v>118</v>
      </c>
      <c r="T11" s="80"/>
      <c r="U11" s="87">
        <f>+riclassificazione!T74-riclassificazione!R74</f>
        <v>-72</v>
      </c>
    </row>
    <row r="12" spans="1:21" ht="12.75">
      <c r="A12" s="81"/>
      <c r="B12" s="80"/>
      <c r="C12" s="86"/>
      <c r="D12" s="80"/>
      <c r="E12" s="86"/>
      <c r="F12" s="80"/>
      <c r="G12" s="86"/>
      <c r="H12" s="80"/>
      <c r="I12" s="86"/>
      <c r="J12" s="80"/>
      <c r="K12" s="87"/>
      <c r="L12" s="80"/>
      <c r="M12" s="86"/>
      <c r="N12" s="80"/>
      <c r="O12" s="86"/>
      <c r="P12" s="80"/>
      <c r="Q12" s="86"/>
      <c r="R12" s="80"/>
      <c r="S12" s="86"/>
      <c r="T12" s="80"/>
      <c r="U12" s="86"/>
    </row>
    <row r="13" spans="1:21" ht="12.75">
      <c r="A13" s="81" t="s">
        <v>179</v>
      </c>
      <c r="B13" s="80"/>
      <c r="C13" s="84">
        <v>1024</v>
      </c>
      <c r="D13" s="80"/>
      <c r="E13" s="84">
        <f>SUM(E6:E12)</f>
        <v>1883</v>
      </c>
      <c r="F13" s="80"/>
      <c r="G13" s="85">
        <f>SUM(G6:G12)</f>
        <v>1937</v>
      </c>
      <c r="H13" s="80"/>
      <c r="I13" s="85">
        <f>SUM(I6:I12)</f>
        <v>1985</v>
      </c>
      <c r="J13" s="80"/>
      <c r="K13" s="85">
        <f>SUM(K6:K12)</f>
        <v>1895</v>
      </c>
      <c r="L13" s="80"/>
      <c r="M13" s="85">
        <f>SUM(M6:M12)</f>
        <v>1594</v>
      </c>
      <c r="N13" s="80"/>
      <c r="O13" s="85">
        <f>SUM(O6:O12)</f>
        <v>2100</v>
      </c>
      <c r="P13" s="80"/>
      <c r="Q13" s="85">
        <f>SUM(Q6:Q12)</f>
        <v>1309</v>
      </c>
      <c r="R13" s="80"/>
      <c r="S13" s="85">
        <f>SUM(S6:S12)</f>
        <v>1233</v>
      </c>
      <c r="T13" s="80"/>
      <c r="U13" s="85">
        <f>SUM(U6:U12)</f>
        <v>-8429</v>
      </c>
    </row>
    <row r="14" spans="1:21" ht="12.75">
      <c r="A14" s="88" t="s">
        <v>180</v>
      </c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80"/>
      <c r="Q14" s="81"/>
      <c r="R14" s="80"/>
      <c r="S14" s="81"/>
      <c r="T14" s="80"/>
      <c r="U14" s="81"/>
    </row>
    <row r="15" spans="1:21" ht="12.75">
      <c r="A15" s="81" t="s">
        <v>181</v>
      </c>
      <c r="B15" s="80"/>
      <c r="C15" s="87">
        <v>569</v>
      </c>
      <c r="D15" s="80"/>
      <c r="E15" s="87">
        <f>+riclassificazione!D17-riclassificazione!B17+riclassificazione!D29-riclassificazione!B29</f>
        <v>-3139</v>
      </c>
      <c r="F15" s="80"/>
      <c r="G15" s="87">
        <f>+riclassificazione!F17-riclassificazione!D17+riclassificazione!F29-riclassificazione!D29</f>
        <v>-836</v>
      </c>
      <c r="H15" s="80"/>
      <c r="I15" s="87">
        <f>+riclassificazione!H17-riclassificazione!F17+riclassificazione!H29-riclassificazione!F29</f>
        <v>-257</v>
      </c>
      <c r="J15" s="80"/>
      <c r="K15" s="87">
        <f>+riclassificazione!J17-riclassificazione!H17+riclassificazione!J29-riclassificazione!H29</f>
        <v>633</v>
      </c>
      <c r="L15" s="80"/>
      <c r="M15" s="87">
        <f>+riclassificazione!L17-riclassificazione!J17+riclassificazione!L29-riclassificazione!J29</f>
        <v>-543</v>
      </c>
      <c r="N15" s="80"/>
      <c r="O15" s="87">
        <f>+riclassificazione!N17-riclassificazione!L17+riclassificazione!N29-riclassificazione!L29</f>
        <v>1134</v>
      </c>
      <c r="P15" s="80"/>
      <c r="Q15" s="87">
        <f>+riclassificazione!P17-riclassificazione!N17+riclassificazione!P29-riclassificazione!N29</f>
        <v>-956</v>
      </c>
      <c r="R15" s="80"/>
      <c r="S15" s="87">
        <f>+riclassificazione!R17-riclassificazione!P17+riclassificazione!R29-riclassificazione!P29</f>
        <v>-414</v>
      </c>
      <c r="T15" s="80"/>
      <c r="U15" s="87">
        <f>+riclassificazione!T17-riclassificazione!R17+riclassificazione!T29-riclassificazione!R29</f>
        <v>234</v>
      </c>
    </row>
    <row r="16" spans="1:21" ht="3.75" customHeight="1" hidden="1">
      <c r="A16" s="81"/>
      <c r="B16" s="80"/>
      <c r="C16" s="87"/>
      <c r="D16" s="80"/>
      <c r="E16" s="87"/>
      <c r="F16" s="80"/>
      <c r="G16" s="87"/>
      <c r="H16" s="80"/>
      <c r="I16" s="87"/>
      <c r="J16" s="80"/>
      <c r="K16" s="87"/>
      <c r="L16" s="80"/>
      <c r="M16" s="87"/>
      <c r="N16" s="80"/>
      <c r="O16" s="87"/>
      <c r="P16" s="80"/>
      <c r="Q16" s="87"/>
      <c r="R16" s="80"/>
      <c r="S16" s="87"/>
      <c r="T16" s="80"/>
      <c r="U16" s="87"/>
    </row>
    <row r="17" spans="1:21" ht="12.75">
      <c r="A17" s="81" t="s">
        <v>258</v>
      </c>
      <c r="B17" s="80"/>
      <c r="C17" s="87">
        <v>-18</v>
      </c>
      <c r="D17" s="80"/>
      <c r="E17" s="87">
        <f>+riclassificazione!D32-riclassificazione!B32</f>
        <v>-119</v>
      </c>
      <c r="F17" s="80"/>
      <c r="G17" s="87">
        <f>+riclassificazione!F32-riclassificazione!D32</f>
        <v>-15</v>
      </c>
      <c r="H17" s="80"/>
      <c r="I17" s="87">
        <f>+riclassificazione!H32-riclassificazione!F32</f>
        <v>-292</v>
      </c>
      <c r="J17" s="80"/>
      <c r="K17" s="87">
        <f>+riclassificazione!J32-riclassificazione!H32</f>
        <v>-40</v>
      </c>
      <c r="L17" s="80"/>
      <c r="M17" s="87">
        <f>+riclassificazione!L32-riclassificazione!J32</f>
        <v>-1</v>
      </c>
      <c r="N17" s="80"/>
      <c r="O17" s="87">
        <f>+riclassificazione!N32-riclassificazione!L32</f>
        <v>6</v>
      </c>
      <c r="P17" s="80"/>
      <c r="Q17" s="87">
        <f>+riclassificazione!P32-riclassificazione!N32</f>
        <v>-2</v>
      </c>
      <c r="R17" s="80"/>
      <c r="S17" s="87">
        <f>+riclassificazione!R32-riclassificazione!P32</f>
        <v>-2</v>
      </c>
      <c r="T17" s="80"/>
      <c r="U17" s="87">
        <f>+riclassificazione!T32-riclassificazione!R32</f>
        <v>20</v>
      </c>
    </row>
    <row r="18" spans="1:21" ht="12.75">
      <c r="A18" s="81" t="s">
        <v>182</v>
      </c>
      <c r="B18" s="80"/>
      <c r="C18" s="87">
        <v>204</v>
      </c>
      <c r="D18" s="80"/>
      <c r="E18" s="87">
        <f>+riclassificazione!D27-riclassificazione!B27</f>
        <v>351</v>
      </c>
      <c r="F18" s="80"/>
      <c r="G18" s="87">
        <f>+riclassificazione!F27-riclassificazione!D27</f>
        <v>396</v>
      </c>
      <c r="H18" s="80"/>
      <c r="I18" s="87">
        <f>+riclassificazione!H27-riclassificazione!F27</f>
        <v>415</v>
      </c>
      <c r="J18" s="80"/>
      <c r="K18" s="87">
        <f>+riclassificazione!J27-riclassificazione!H27</f>
        <v>230</v>
      </c>
      <c r="L18" s="80"/>
      <c r="M18" s="87">
        <f>+riclassificazione!L27-riclassificazione!J27</f>
        <v>1175</v>
      </c>
      <c r="N18" s="80"/>
      <c r="O18" s="87">
        <f>+riclassificazione!N27-riclassificazione!L27</f>
        <v>393</v>
      </c>
      <c r="P18" s="80"/>
      <c r="Q18" s="87">
        <f>+riclassificazione!P27-riclassificazione!N27</f>
        <v>-110</v>
      </c>
      <c r="R18" s="80"/>
      <c r="S18" s="87">
        <f>+riclassificazione!R27-riclassificazione!P27</f>
        <v>237</v>
      </c>
      <c r="T18" s="80"/>
      <c r="U18" s="87">
        <f>+riclassificazione!T27-riclassificazione!R27</f>
        <v>-2529</v>
      </c>
    </row>
    <row r="19" spans="1:21" ht="12.75">
      <c r="A19" s="88" t="s">
        <v>180</v>
      </c>
      <c r="B19" s="80"/>
      <c r="C19" s="87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1"/>
      <c r="R19" s="80"/>
      <c r="S19" s="81"/>
      <c r="T19" s="80"/>
      <c r="U19" s="81"/>
    </row>
    <row r="20" spans="1:21" ht="12.75">
      <c r="A20" s="81" t="s">
        <v>183</v>
      </c>
      <c r="B20" s="80"/>
      <c r="C20" s="87">
        <v>549</v>
      </c>
      <c r="D20" s="80"/>
      <c r="E20" s="87">
        <f>+riclassificazione!D82-riclassificazione!B82+riclassificazione!D95-riclassificazione!B95</f>
        <v>-298</v>
      </c>
      <c r="F20" s="80"/>
      <c r="G20" s="87">
        <f>+riclassificazione!F82-riclassificazione!D82+riclassificazione!F95-riclassificazione!D95</f>
        <v>-90</v>
      </c>
      <c r="H20" s="80"/>
      <c r="I20" s="87">
        <f>+riclassificazione!H82-riclassificazione!F82+riclassificazione!H95-riclassificazione!F95</f>
        <v>-321</v>
      </c>
      <c r="J20" s="80"/>
      <c r="K20" s="87">
        <f>+riclassificazione!J82-riclassificazione!H82+riclassificazione!J95-riclassificazione!H95</f>
        <v>716</v>
      </c>
      <c r="L20" s="80"/>
      <c r="M20" s="87">
        <f>+riclassificazione!L82-riclassificazione!J82+riclassificazione!L95-riclassificazione!J95</f>
        <v>-239</v>
      </c>
      <c r="N20" s="80"/>
      <c r="O20" s="87">
        <f>+riclassificazione!N82-riclassificazione!L82+riclassificazione!N95-riclassificazione!L95</f>
        <v>-55</v>
      </c>
      <c r="P20" s="80"/>
      <c r="Q20" s="87">
        <f>+riclassificazione!P82-riclassificazione!N82+riclassificazione!P95-riclassificazione!N95</f>
        <v>0</v>
      </c>
      <c r="R20" s="80"/>
      <c r="S20" s="87">
        <f>+riclassificazione!R82-riclassificazione!P82+riclassificazione!R95-riclassificazione!P95</f>
        <v>990</v>
      </c>
      <c r="T20" s="80"/>
      <c r="U20" s="87">
        <f>+riclassificazione!T82-riclassificazione!R82+riclassificazione!T95-riclassificazione!R95</f>
        <v>-220</v>
      </c>
    </row>
    <row r="21" spans="1:21" ht="12.75">
      <c r="A21" s="81" t="s">
        <v>184</v>
      </c>
      <c r="B21" s="80"/>
      <c r="C21" s="87">
        <v>70</v>
      </c>
      <c r="D21" s="80"/>
      <c r="E21" s="87">
        <f>+riclassificazione!D97-riclassificazione!B97</f>
        <v>-5</v>
      </c>
      <c r="F21" s="80"/>
      <c r="G21" s="87">
        <f>+riclassificazione!F97-riclassificazione!D97</f>
        <v>20</v>
      </c>
      <c r="H21" s="80"/>
      <c r="I21" s="87">
        <f>+riclassificazione!H97-riclassificazione!F97</f>
        <v>-14</v>
      </c>
      <c r="J21" s="80"/>
      <c r="K21" s="87">
        <f>+riclassificazione!J97-riclassificazione!H97</f>
        <v>30</v>
      </c>
      <c r="L21" s="80"/>
      <c r="M21" s="87">
        <f>+riclassificazione!L97-riclassificazione!J97</f>
        <v>3</v>
      </c>
      <c r="N21" s="80"/>
      <c r="O21" s="87">
        <f>+riclassificazione!N97-riclassificazione!L97</f>
        <v>43</v>
      </c>
      <c r="P21" s="80"/>
      <c r="Q21" s="87">
        <f>+riclassificazione!P97-riclassificazione!N97</f>
        <v>74</v>
      </c>
      <c r="R21" s="80"/>
      <c r="S21" s="87">
        <f>+riclassificazione!R97-riclassificazione!P97</f>
        <v>-115</v>
      </c>
      <c r="T21" s="80"/>
      <c r="U21" s="87">
        <f>+riclassificazione!T97-riclassificazione!R97</f>
        <v>2430</v>
      </c>
    </row>
    <row r="22" spans="1:21" ht="12.75">
      <c r="A22" s="81" t="s">
        <v>185</v>
      </c>
      <c r="B22" s="80"/>
      <c r="C22" s="87">
        <v>-11</v>
      </c>
      <c r="D22" s="80"/>
      <c r="E22" s="87">
        <f>+riclassificazione!D98-riclassificazione!B98+riclassificazione!D66-riclassificazione!B66</f>
        <v>0</v>
      </c>
      <c r="F22" s="80"/>
      <c r="G22" s="87">
        <f>+riclassificazione!F98-riclassificazione!D98+riclassificazione!F66-riclassificazione!D66</f>
        <v>0</v>
      </c>
      <c r="H22" s="80"/>
      <c r="I22" s="87">
        <f>+riclassificazione!H98-riclassificazione!F98+riclassificazione!H66-riclassificazione!F66</f>
        <v>0</v>
      </c>
      <c r="J22" s="80"/>
      <c r="K22" s="87">
        <f>+riclassificazione!J98-riclassificazione!H98+riclassificazione!J66-riclassificazione!H66</f>
        <v>0</v>
      </c>
      <c r="L22" s="80"/>
      <c r="M22" s="87">
        <f>+riclassificazione!L98-riclassificazione!J98+riclassificazione!L66-riclassificazione!J66</f>
        <v>0</v>
      </c>
      <c r="N22" s="80"/>
      <c r="O22" s="87">
        <f>+riclassificazione!N98-riclassificazione!L98+riclassificazione!N66-riclassificazione!L66</f>
        <v>0</v>
      </c>
      <c r="P22" s="80"/>
      <c r="Q22" s="87">
        <f>+riclassificazione!P98-riclassificazione!N98+riclassificazione!P66-riclassificazione!N66</f>
        <v>0</v>
      </c>
      <c r="R22" s="80"/>
      <c r="S22" s="87">
        <f>+riclassificazione!R98-riclassificazione!P98+riclassificazione!R66-riclassificazione!P66</f>
        <v>0</v>
      </c>
      <c r="T22" s="80"/>
      <c r="U22" s="87">
        <f>+riclassificazione!T98-riclassificazione!R98+riclassificazione!T66-riclassificazione!R66</f>
        <v>0</v>
      </c>
    </row>
    <row r="23" spans="1:21" ht="12.75">
      <c r="A23" s="81"/>
      <c r="B23" s="80"/>
      <c r="C23" s="81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80"/>
      <c r="Q23" s="81"/>
      <c r="R23" s="80"/>
      <c r="S23" s="81"/>
      <c r="T23" s="80"/>
      <c r="U23" s="81"/>
    </row>
    <row r="24" spans="1:21" ht="12.75">
      <c r="A24" s="81" t="s">
        <v>186</v>
      </c>
      <c r="B24" s="80"/>
      <c r="C24" s="85">
        <v>147</v>
      </c>
      <c r="D24" s="80"/>
      <c r="E24" s="85">
        <f>SUM(E15:E18)-SUM(E20:E22)</f>
        <v>-2604</v>
      </c>
      <c r="F24" s="80"/>
      <c r="G24" s="85">
        <f>SUM(G15:G18)-SUM(G20:G22)</f>
        <v>-385</v>
      </c>
      <c r="H24" s="80"/>
      <c r="I24" s="85">
        <f>SUM(I15:I18)-SUM(I20:I22)</f>
        <v>201</v>
      </c>
      <c r="J24" s="80"/>
      <c r="K24" s="85">
        <f>SUM(K15:K18)-SUM(K20:K22)</f>
        <v>77</v>
      </c>
      <c r="L24" s="80"/>
      <c r="M24" s="85">
        <f>SUM(M15:M18)-SUM(M20:M22)</f>
        <v>867</v>
      </c>
      <c r="N24" s="80"/>
      <c r="O24" s="85">
        <f>SUM(O15:O18)-SUM(O20:O22)</f>
        <v>1545</v>
      </c>
      <c r="P24" s="80"/>
      <c r="Q24" s="85">
        <f>SUM(Q15:Q18)-SUM(Q20:Q22)</f>
        <v>-1142</v>
      </c>
      <c r="R24" s="80"/>
      <c r="S24" s="85">
        <f>SUM(S15:S18)-SUM(S20:S22)</f>
        <v>-1054</v>
      </c>
      <c r="T24" s="80"/>
      <c r="U24" s="85">
        <f>SUM(U15:U18)-SUM(U20:U22)</f>
        <v>-4485</v>
      </c>
    </row>
    <row r="25" spans="1:21" ht="12.75">
      <c r="A25" s="81"/>
      <c r="B25" s="80"/>
      <c r="C25" s="81"/>
      <c r="D25" s="80"/>
      <c r="E25" s="81"/>
      <c r="F25" s="80"/>
      <c r="G25" s="81"/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  <c r="T25" s="80"/>
      <c r="U25" s="81"/>
    </row>
    <row r="26" spans="1:21" ht="12.75">
      <c r="A26" s="81" t="s">
        <v>336</v>
      </c>
      <c r="B26" s="80"/>
      <c r="C26" s="89">
        <v>877</v>
      </c>
      <c r="D26" s="80"/>
      <c r="E26" s="89">
        <f>+E13-E24</f>
        <v>4487</v>
      </c>
      <c r="F26" s="80"/>
      <c r="G26" s="89">
        <f>+G13-G24</f>
        <v>2322</v>
      </c>
      <c r="H26" s="80"/>
      <c r="I26" s="89">
        <f>+I13-I24</f>
        <v>1784</v>
      </c>
      <c r="J26" s="80"/>
      <c r="K26" s="89">
        <f>+K13-K24</f>
        <v>1818</v>
      </c>
      <c r="L26" s="80"/>
      <c r="M26" s="89">
        <f>+M13-M24</f>
        <v>727</v>
      </c>
      <c r="N26" s="80"/>
      <c r="O26" s="89">
        <f>+O13-O24</f>
        <v>555</v>
      </c>
      <c r="P26" s="80"/>
      <c r="Q26" s="89">
        <f>+Q13-Q24</f>
        <v>2451</v>
      </c>
      <c r="R26" s="80"/>
      <c r="S26" s="89">
        <f>+S13-S24</f>
        <v>2287</v>
      </c>
      <c r="T26" s="80"/>
      <c r="U26" s="89">
        <f>+U13-U24</f>
        <v>-3944</v>
      </c>
    </row>
    <row r="27" spans="1:21" ht="12.75">
      <c r="A27" s="81"/>
      <c r="B27" s="80"/>
      <c r="C27" s="89"/>
      <c r="D27" s="80"/>
      <c r="E27" s="89"/>
      <c r="F27" s="80"/>
      <c r="G27" s="89"/>
      <c r="H27" s="80"/>
      <c r="I27" s="89"/>
      <c r="J27" s="80"/>
      <c r="K27" s="89"/>
      <c r="L27" s="80"/>
      <c r="M27" s="89"/>
      <c r="N27" s="80"/>
      <c r="O27" s="89"/>
      <c r="P27" s="80"/>
      <c r="Q27" s="89"/>
      <c r="R27" s="80"/>
      <c r="S27" s="89"/>
      <c r="T27" s="80"/>
      <c r="U27" s="89"/>
    </row>
    <row r="28" spans="1:21" ht="12.75">
      <c r="A28" s="81" t="s">
        <v>187</v>
      </c>
      <c r="B28" s="80"/>
      <c r="C28" s="89">
        <v>-123</v>
      </c>
      <c r="D28" s="80"/>
      <c r="E28" s="89">
        <f>riclassificazione!D139</f>
        <v>-294</v>
      </c>
      <c r="F28" s="80"/>
      <c r="G28" s="89">
        <f>riclassificazione!F139</f>
        <v>-422</v>
      </c>
      <c r="H28" s="80"/>
      <c r="I28" s="89">
        <f>riclassificazione!H139</f>
        <v>-295</v>
      </c>
      <c r="J28" s="80"/>
      <c r="K28" s="89">
        <f>riclassificazione!J139</f>
        <v>-312</v>
      </c>
      <c r="L28" s="80"/>
      <c r="M28" s="89">
        <f>riclassificazione!L139</f>
        <v>-420</v>
      </c>
      <c r="N28" s="80"/>
      <c r="O28" s="89">
        <f>riclassificazione!N139</f>
        <v>-585</v>
      </c>
      <c r="P28" s="80"/>
      <c r="Q28" s="89">
        <f>riclassificazione!P139</f>
        <v>-725</v>
      </c>
      <c r="R28" s="80"/>
      <c r="S28" s="89">
        <f>riclassificazione!R139</f>
        <v>-566</v>
      </c>
      <c r="T28" s="80"/>
      <c r="U28" s="89">
        <f>riclassificazione!T139</f>
        <v>-674</v>
      </c>
    </row>
    <row r="29" spans="1:21" ht="12.75">
      <c r="A29" s="81" t="s">
        <v>188</v>
      </c>
      <c r="B29" s="80"/>
      <c r="C29" s="87">
        <v>-103</v>
      </c>
      <c r="D29" s="80"/>
      <c r="E29" s="87">
        <f>+riclassificazione!D96-riclassificazione!B96+riclassificazione!D147+riclassificazione!D148+riclassificazione!D73-riclassificazione!B73-riclassificazione!D31+riclassificazione!B31-riclassificazione!D16+riclassificazione!B16</f>
        <v>-77</v>
      </c>
      <c r="F29" s="80"/>
      <c r="G29" s="87">
        <f>+riclassificazione!F96-riclassificazione!D96+riclassificazione!F147+riclassificazione!F148+riclassificazione!F73-riclassificazione!D73-riclassificazione!F31+riclassificazione!D31-riclassificazione!F16+riclassificazione!D16</f>
        <v>-15</v>
      </c>
      <c r="H29" s="80"/>
      <c r="I29" s="87">
        <f>+riclassificazione!H96-riclassificazione!F96+riclassificazione!H147+riclassificazione!H148+riclassificazione!H73-riclassificazione!F73-riclassificazione!H31+riclassificazione!F31-riclassificazione!H16+riclassificazione!F16</f>
        <v>-494</v>
      </c>
      <c r="J29" s="80"/>
      <c r="K29" s="87">
        <f>+riclassificazione!J96-riclassificazione!H96+riclassificazione!J147+riclassificazione!J148+riclassificazione!J73-riclassificazione!H73-riclassificazione!J31+riclassificazione!H31-riclassificazione!J16+riclassificazione!H16</f>
        <v>-215</v>
      </c>
      <c r="L29" s="80"/>
      <c r="M29" s="87">
        <f>+riclassificazione!L96-riclassificazione!J96+riclassificazione!L147+riclassificazione!L148+riclassificazione!L73-riclassificazione!J73-riclassificazione!L31+riclassificazione!J31-riclassificazione!L16+riclassificazione!J16</f>
        <v>-159</v>
      </c>
      <c r="N29" s="80"/>
      <c r="O29" s="87">
        <f>+riclassificazione!N96-riclassificazione!L96+riclassificazione!N147+riclassificazione!N148+riclassificazione!N73-riclassificazione!L73-riclassificazione!N31+riclassificazione!L31-riclassificazione!N16+riclassificazione!L16</f>
        <v>0</v>
      </c>
      <c r="P29" s="80"/>
      <c r="Q29" s="87">
        <f>+riclassificazione!P96-riclassificazione!N96+riclassificazione!P147+riclassificazione!P148+riclassificazione!P73-riclassificazione!N73-riclassificazione!P31+riclassificazione!N31-riclassificazione!P16+riclassificazione!N16</f>
        <v>-173</v>
      </c>
      <c r="R29" s="80"/>
      <c r="S29" s="87">
        <f>+riclassificazione!R96-riclassificazione!P96+riclassificazione!R147+riclassificazione!R148+riclassificazione!R73-riclassificazione!P73-riclassificazione!R31+riclassificazione!P31-riclassificazione!R16+riclassificazione!P16</f>
        <v>121</v>
      </c>
      <c r="T29" s="80"/>
      <c r="U29" s="87">
        <f>+riclassificazione!T96-riclassificazione!R96+riclassificazione!T147+riclassificazione!T148+riclassificazione!T73-riclassificazione!R73-riclassificazione!T31+riclassificazione!R31-riclassificazione!T16+riclassificazione!R16</f>
        <v>4847</v>
      </c>
    </row>
    <row r="30" spans="1:21" ht="12.75">
      <c r="A30" s="81"/>
      <c r="B30" s="80"/>
      <c r="C30" s="81"/>
      <c r="D30" s="80"/>
      <c r="E30" s="81"/>
      <c r="F30" s="80"/>
      <c r="G30" s="81"/>
      <c r="H30" s="80"/>
      <c r="I30" s="81"/>
      <c r="J30" s="80"/>
      <c r="K30" s="81"/>
      <c r="L30" s="80"/>
      <c r="M30" s="81"/>
      <c r="N30" s="80"/>
      <c r="O30" s="81"/>
      <c r="P30" s="80"/>
      <c r="Q30" s="81"/>
      <c r="R30" s="80"/>
      <c r="S30" s="81"/>
      <c r="T30" s="80"/>
      <c r="U30" s="81"/>
    </row>
    <row r="31" spans="1:21" ht="12.75">
      <c r="A31" s="90" t="s">
        <v>337</v>
      </c>
      <c r="B31" s="80"/>
      <c r="C31" s="85">
        <v>651</v>
      </c>
      <c r="D31" s="80"/>
      <c r="E31" s="85">
        <f>SUM(E26:E29)</f>
        <v>4116</v>
      </c>
      <c r="F31" s="80"/>
      <c r="G31" s="85">
        <f>SUM(G26:G29)</f>
        <v>1885</v>
      </c>
      <c r="H31" s="80"/>
      <c r="I31" s="85">
        <f>SUM(I26:I29)</f>
        <v>995</v>
      </c>
      <c r="J31" s="80"/>
      <c r="K31" s="85">
        <f>SUM(K26:K29)</f>
        <v>1291</v>
      </c>
      <c r="L31" s="80"/>
      <c r="M31" s="85">
        <f>SUM(M26:M29)</f>
        <v>148</v>
      </c>
      <c r="N31" s="80"/>
      <c r="O31" s="85">
        <f>SUM(O26:O29)</f>
        <v>-30</v>
      </c>
      <c r="P31" s="80"/>
      <c r="Q31" s="85">
        <f>SUM(Q26:Q29)</f>
        <v>1553</v>
      </c>
      <c r="R31" s="80"/>
      <c r="S31" s="85">
        <f>SUM(S26:S29)</f>
        <v>1842</v>
      </c>
      <c r="T31" s="80"/>
      <c r="U31" s="85">
        <f>SUM(U26:U29)</f>
        <v>229</v>
      </c>
    </row>
    <row r="32" spans="1:21" ht="12.75">
      <c r="A32" s="81"/>
      <c r="B32" s="80"/>
      <c r="C32" s="81"/>
      <c r="D32" s="80"/>
      <c r="E32" s="81"/>
      <c r="F32" s="80"/>
      <c r="G32" s="81"/>
      <c r="H32" s="80"/>
      <c r="I32" s="81"/>
      <c r="J32" s="80"/>
      <c r="K32" s="81"/>
      <c r="L32" s="80"/>
      <c r="M32" s="81"/>
      <c r="N32" s="80"/>
      <c r="O32" s="81"/>
      <c r="P32" s="80"/>
      <c r="Q32" s="81"/>
      <c r="R32" s="80"/>
      <c r="S32" s="81"/>
      <c r="T32" s="80"/>
      <c r="U32" s="81"/>
    </row>
    <row r="33" spans="1:21" ht="12.75">
      <c r="A33" s="82" t="s">
        <v>189</v>
      </c>
      <c r="B33" s="80"/>
      <c r="C33" s="81"/>
      <c r="D33" s="80"/>
      <c r="E33" s="81"/>
      <c r="F33" s="80"/>
      <c r="G33" s="81"/>
      <c r="H33" s="80"/>
      <c r="I33" s="81"/>
      <c r="J33" s="80"/>
      <c r="K33" s="81"/>
      <c r="L33" s="80"/>
      <c r="M33" s="81"/>
      <c r="N33" s="80"/>
      <c r="O33" s="81"/>
      <c r="P33" s="80"/>
      <c r="Q33" s="81"/>
      <c r="R33" s="80"/>
      <c r="S33" s="81"/>
      <c r="T33" s="80"/>
      <c r="U33" s="81"/>
    </row>
    <row r="34" spans="1:21" ht="12.75">
      <c r="A34" s="81"/>
      <c r="B34" s="80"/>
      <c r="C34" s="81"/>
      <c r="D34" s="80"/>
      <c r="E34" s="81"/>
      <c r="F34" s="80"/>
      <c r="G34" s="81"/>
      <c r="H34" s="80"/>
      <c r="I34" s="81"/>
      <c r="J34" s="80"/>
      <c r="K34" s="81"/>
      <c r="L34" s="80"/>
      <c r="M34" s="81"/>
      <c r="N34" s="80"/>
      <c r="O34" s="81"/>
      <c r="P34" s="80"/>
      <c r="Q34" s="81"/>
      <c r="R34" s="80"/>
      <c r="S34" s="81"/>
      <c r="T34" s="80"/>
      <c r="U34" s="81"/>
    </row>
    <row r="35" spans="1:21" ht="12.75">
      <c r="A35" s="81" t="s">
        <v>190</v>
      </c>
      <c r="B35" s="80"/>
      <c r="C35" s="87">
        <v>-570</v>
      </c>
      <c r="D35" s="80"/>
      <c r="E35" s="87">
        <f>-'calcoli cash flow'!F9</f>
        <v>-1744</v>
      </c>
      <c r="F35" s="80"/>
      <c r="G35" s="87">
        <f>-'calcoli cash flow'!H9</f>
        <v>-1918</v>
      </c>
      <c r="H35" s="80"/>
      <c r="I35" s="87">
        <f>-'calcoli cash flow'!J9</f>
        <v>-1873</v>
      </c>
      <c r="J35" s="80"/>
      <c r="K35" s="87">
        <f>-'calcoli cash flow'!L9</f>
        <v>-1867</v>
      </c>
      <c r="L35" s="80"/>
      <c r="M35" s="87">
        <f>-'calcoli cash flow'!N9</f>
        <v>-1345</v>
      </c>
      <c r="N35" s="80"/>
      <c r="O35" s="87">
        <f>-'calcoli cash flow'!P9</f>
        <v>-1594</v>
      </c>
      <c r="P35" s="80"/>
      <c r="Q35" s="87">
        <f>-'calcoli cash flow'!R9</f>
        <v>-1610</v>
      </c>
      <c r="R35" s="80"/>
      <c r="S35" s="87">
        <f>-'calcoli cash flow'!T9</f>
        <v>-1469</v>
      </c>
      <c r="T35" s="80"/>
      <c r="U35" s="87">
        <f>-'calcoli cash flow'!V9</f>
        <v>-329</v>
      </c>
    </row>
    <row r="36" spans="1:21" ht="12.75" hidden="1">
      <c r="A36" s="81" t="s">
        <v>191</v>
      </c>
      <c r="B36" s="80"/>
      <c r="C36" s="81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81"/>
      <c r="R36" s="80"/>
      <c r="S36" s="81"/>
      <c r="T36" s="80"/>
      <c r="U36" s="81"/>
    </row>
    <row r="37" spans="1:21" ht="12.75">
      <c r="A37" s="81" t="s">
        <v>192</v>
      </c>
      <c r="B37" s="80"/>
      <c r="C37" s="87">
        <v>-18</v>
      </c>
      <c r="D37" s="80"/>
      <c r="E37" s="87">
        <f>-'calcoli cash flow'!F16</f>
        <v>-331</v>
      </c>
      <c r="F37" s="80"/>
      <c r="G37" s="87">
        <f>-'calcoli cash flow'!H16</f>
        <v>-303</v>
      </c>
      <c r="H37" s="80"/>
      <c r="I37" s="87">
        <f>-'calcoli cash flow'!J16</f>
        <v>-191</v>
      </c>
      <c r="J37" s="80"/>
      <c r="K37" s="87">
        <f>-'calcoli cash flow'!L16</f>
        <v>-194</v>
      </c>
      <c r="L37" s="80"/>
      <c r="M37" s="87">
        <f>-'calcoli cash flow'!N16</f>
        <v>-98</v>
      </c>
      <c r="N37" s="80"/>
      <c r="O37" s="87">
        <f>-'calcoli cash flow'!P16</f>
        <v>-131</v>
      </c>
      <c r="P37" s="80"/>
      <c r="Q37" s="87">
        <f>-'calcoli cash flow'!R16</f>
        <v>-161</v>
      </c>
      <c r="R37" s="80"/>
      <c r="S37" s="87">
        <f>-'calcoli cash flow'!T16</f>
        <v>-43</v>
      </c>
      <c r="T37" s="80"/>
      <c r="U37" s="87">
        <f>-'calcoli cash flow'!V16</f>
        <v>1</v>
      </c>
    </row>
    <row r="38" spans="1:21" ht="12.75" hidden="1">
      <c r="A38" s="81" t="s">
        <v>193</v>
      </c>
      <c r="B38" s="80"/>
      <c r="C38" s="81"/>
      <c r="D38" s="80"/>
      <c r="E38" s="81"/>
      <c r="F38" s="80"/>
      <c r="G38" s="81"/>
      <c r="H38" s="80"/>
      <c r="I38" s="81"/>
      <c r="J38" s="80"/>
      <c r="K38" s="81"/>
      <c r="L38" s="80"/>
      <c r="M38" s="81"/>
      <c r="N38" s="80"/>
      <c r="O38" s="81"/>
      <c r="P38" s="80"/>
      <c r="Q38" s="81"/>
      <c r="R38" s="80"/>
      <c r="S38" s="81"/>
      <c r="T38" s="80"/>
      <c r="U38" s="81"/>
    </row>
    <row r="39" spans="1:21" ht="12.75">
      <c r="A39" s="81" t="s">
        <v>338</v>
      </c>
      <c r="B39" s="80"/>
      <c r="C39" s="87">
        <v>0</v>
      </c>
      <c r="D39" s="80"/>
      <c r="E39" s="87">
        <f>-riclassificazione!D14+riclassificazione!B14-riclassificazione!D15+riclassificazione!B15</f>
        <v>0</v>
      </c>
      <c r="F39" s="80"/>
      <c r="G39" s="87">
        <f>-riclassificazione!F14+riclassificazione!D14-riclassificazione!F15+riclassificazione!D15</f>
        <v>0</v>
      </c>
      <c r="H39" s="80"/>
      <c r="I39" s="87">
        <f>-riclassificazione!H14+riclassificazione!F14-riclassificazione!H15+riclassificazione!F15</f>
        <v>-250</v>
      </c>
      <c r="J39" s="80"/>
      <c r="K39" s="87">
        <f>-riclassificazione!J14+riclassificazione!H14-riclassificazione!J15+riclassificazione!H15</f>
        <v>-918</v>
      </c>
      <c r="L39" s="80"/>
      <c r="M39" s="87">
        <f>-riclassificazione!L14+riclassificazione!J14-riclassificazione!L15+riclassificazione!J15</f>
        <v>-46</v>
      </c>
      <c r="N39" s="80"/>
      <c r="O39" s="87">
        <f>-riclassificazione!N14+riclassificazione!L14-riclassificazione!N15+riclassificazione!L15</f>
        <v>-357</v>
      </c>
      <c r="P39" s="80"/>
      <c r="Q39" s="87">
        <f>-riclassificazione!P14+riclassificazione!N14-riclassificazione!P15+riclassificazione!N15</f>
        <v>-574</v>
      </c>
      <c r="R39" s="80"/>
      <c r="S39" s="87">
        <f>-riclassificazione!R14+riclassificazione!P14-riclassificazione!R15+riclassificazione!P15</f>
        <v>300</v>
      </c>
      <c r="T39" s="80"/>
      <c r="U39" s="87">
        <f>-riclassificazione!T14+riclassificazione!R14-riclassificazione!T15+riclassificazione!R15</f>
        <v>1845</v>
      </c>
    </row>
    <row r="40" spans="1:21" ht="12.75" hidden="1">
      <c r="A40" s="81" t="s">
        <v>195</v>
      </c>
      <c r="B40" s="80"/>
      <c r="C40" s="81"/>
      <c r="D40" s="80"/>
      <c r="E40" s="81"/>
      <c r="F40" s="80"/>
      <c r="G40" s="81"/>
      <c r="H40" s="80"/>
      <c r="I40" s="81"/>
      <c r="J40" s="80"/>
      <c r="K40" s="81"/>
      <c r="L40" s="80"/>
      <c r="M40" s="81"/>
      <c r="N40" s="80"/>
      <c r="O40" s="81"/>
      <c r="P40" s="80"/>
      <c r="Q40" s="81"/>
      <c r="R40" s="80"/>
      <c r="S40" s="81"/>
      <c r="T40" s="80"/>
      <c r="U40" s="81"/>
    </row>
    <row r="41" spans="1:21" ht="12.75">
      <c r="A41" s="81" t="s">
        <v>292</v>
      </c>
      <c r="B41" s="80"/>
      <c r="C41" s="86">
        <v>13</v>
      </c>
      <c r="D41" s="80"/>
      <c r="E41" s="87">
        <f>+riclassificazione!D135+riclassificazione!D136-E42</f>
        <v>20</v>
      </c>
      <c r="F41" s="80"/>
      <c r="G41" s="87">
        <f>+riclassificazione!F135+riclassificazione!F136-G42</f>
        <v>20</v>
      </c>
      <c r="H41" s="80"/>
      <c r="I41" s="87">
        <f>+riclassificazione!H135+riclassificazione!H136-I42</f>
        <v>-119</v>
      </c>
      <c r="J41" s="80"/>
      <c r="K41" s="87">
        <f>+riclassificazione!J135+riclassificazione!J136-K42</f>
        <v>-23</v>
      </c>
      <c r="L41" s="80"/>
      <c r="M41" s="87">
        <f>+riclassificazione!L135+riclassificazione!L136-M42</f>
        <v>-73</v>
      </c>
      <c r="N41" s="80"/>
      <c r="O41" s="87">
        <f>+riclassificazione!N135+riclassificazione!N136-O42</f>
        <v>-41</v>
      </c>
      <c r="P41" s="80"/>
      <c r="Q41" s="87">
        <f>+riclassificazione!P135+riclassificazione!P136-Q42</f>
        <v>36</v>
      </c>
      <c r="R41" s="80"/>
      <c r="S41" s="87">
        <f>+riclassificazione!R135+riclassificazione!R136-S42</f>
        <v>-1</v>
      </c>
      <c r="T41" s="80"/>
      <c r="U41" s="87">
        <f>+riclassificazione!T135+riclassificazione!T136-U42</f>
        <v>0</v>
      </c>
    </row>
    <row r="42" spans="1:21" ht="12.75">
      <c r="A42" s="81" t="s">
        <v>196</v>
      </c>
      <c r="B42" s="80"/>
      <c r="C42" s="86">
        <v>0</v>
      </c>
      <c r="D42" s="80"/>
      <c r="E42" s="86">
        <f>+riclassificazione!D161</f>
        <v>0</v>
      </c>
      <c r="F42" s="80"/>
      <c r="G42" s="86">
        <f>+riclassificazione!F161</f>
        <v>0</v>
      </c>
      <c r="H42" s="80"/>
      <c r="I42" s="86">
        <f>+riclassificazione!H161</f>
        <v>0</v>
      </c>
      <c r="J42" s="80"/>
      <c r="K42" s="86">
        <f>+riclassificazione!J161</f>
        <v>0</v>
      </c>
      <c r="L42" s="80"/>
      <c r="M42" s="86">
        <f>+riclassificazione!L161</f>
        <v>0</v>
      </c>
      <c r="N42" s="80"/>
      <c r="O42" s="86">
        <f>+riclassificazione!N161</f>
        <v>0</v>
      </c>
      <c r="P42" s="80"/>
      <c r="Q42" s="86">
        <f>+riclassificazione!P161</f>
        <v>0</v>
      </c>
      <c r="R42" s="80"/>
      <c r="S42" s="86">
        <f>+riclassificazione!R161</f>
        <v>0</v>
      </c>
      <c r="T42" s="80"/>
      <c r="U42" s="86">
        <f>+riclassificazione!T161</f>
        <v>0</v>
      </c>
    </row>
    <row r="43" spans="1:21" ht="12.75">
      <c r="A43" s="81" t="s">
        <v>249</v>
      </c>
      <c r="B43" s="80"/>
      <c r="C43" s="87">
        <v>0</v>
      </c>
      <c r="D43" s="80"/>
      <c r="E43" s="87">
        <f>-riclassificazione!D30+riclassificazione!B30</f>
        <v>-249</v>
      </c>
      <c r="F43" s="80"/>
      <c r="G43" s="87">
        <f>-riclassificazione!F30+riclassificazione!D30</f>
        <v>3</v>
      </c>
      <c r="H43" s="80"/>
      <c r="I43" s="87">
        <f>-riclassificazione!H30+riclassificazione!F30</f>
        <v>249</v>
      </c>
      <c r="J43" s="80"/>
      <c r="K43" s="87">
        <f>-riclassificazione!J30+riclassificazione!H30+riclassificazione!J155</f>
        <v>0</v>
      </c>
      <c r="L43" s="80"/>
      <c r="M43" s="87">
        <f>-riclassificazione!L30+riclassificazione!J30-riclassificazione!J155</f>
        <v>0</v>
      </c>
      <c r="N43" s="80"/>
      <c r="O43" s="87">
        <f>-riclassificazione!N30+riclassificazione!L30</f>
        <v>-29</v>
      </c>
      <c r="P43" s="80"/>
      <c r="Q43" s="87">
        <f>-riclassificazione!P30+riclassificazione!N30</f>
        <v>-227</v>
      </c>
      <c r="R43" s="80"/>
      <c r="S43" s="87">
        <f>-riclassificazione!R30+riclassificazione!P30</f>
        <v>0</v>
      </c>
      <c r="T43" s="80"/>
      <c r="U43" s="87">
        <f>-riclassificazione!T30+riclassificazione!R30</f>
        <v>-2050</v>
      </c>
    </row>
    <row r="44" spans="1:21" ht="12.75" hidden="1">
      <c r="A44" s="81" t="s">
        <v>248</v>
      </c>
      <c r="B44" s="80"/>
      <c r="C44" s="91"/>
      <c r="D44" s="80"/>
      <c r="E44" s="81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0"/>
      <c r="S44" s="81"/>
      <c r="T44" s="80"/>
      <c r="U44" s="81"/>
    </row>
    <row r="45" spans="1:21" ht="21.75">
      <c r="A45" s="92" t="s">
        <v>197</v>
      </c>
      <c r="B45" s="80"/>
      <c r="C45" s="89">
        <v>-575</v>
      </c>
      <c r="D45" s="80"/>
      <c r="E45" s="89">
        <f>SUM(E35:E44)</f>
        <v>-2304</v>
      </c>
      <c r="F45" s="80"/>
      <c r="G45" s="89">
        <f>SUM(G35:G44)</f>
        <v>-2198</v>
      </c>
      <c r="H45" s="80"/>
      <c r="I45" s="89">
        <f>SUM(I35:I44)</f>
        <v>-2184</v>
      </c>
      <c r="J45" s="80"/>
      <c r="K45" s="89">
        <f>SUM(K35:K44)</f>
        <v>-3002</v>
      </c>
      <c r="L45" s="80"/>
      <c r="M45" s="89">
        <f>SUM(M35:M44)</f>
        <v>-1562</v>
      </c>
      <c r="N45" s="80"/>
      <c r="O45" s="89">
        <f>SUM(O35:O44)</f>
        <v>-2152</v>
      </c>
      <c r="P45" s="80"/>
      <c r="Q45" s="89">
        <f>SUM(Q35:Q44)</f>
        <v>-2536</v>
      </c>
      <c r="R45" s="80"/>
      <c r="S45" s="89">
        <f>SUM(S35:S44)</f>
        <v>-1213</v>
      </c>
      <c r="T45" s="80"/>
      <c r="U45" s="89">
        <f>SUM(U35:U44)</f>
        <v>-533</v>
      </c>
    </row>
    <row r="46" spans="1:21" ht="12.75">
      <c r="A46" s="81"/>
      <c r="B46" s="80"/>
      <c r="C46" s="81"/>
      <c r="D46" s="80"/>
      <c r="E46" s="81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0"/>
      <c r="S46" s="81"/>
      <c r="T46" s="80"/>
      <c r="U46" s="81"/>
    </row>
    <row r="47" spans="1:21" ht="12.75" hidden="1">
      <c r="A47" s="81"/>
      <c r="B47" s="80"/>
      <c r="C47" s="81"/>
      <c r="D47" s="80"/>
      <c r="E47" s="81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0"/>
      <c r="S47" s="81"/>
      <c r="T47" s="80"/>
      <c r="U47" s="81"/>
    </row>
    <row r="48" spans="1:21" ht="12.75">
      <c r="A48" s="82" t="s">
        <v>198</v>
      </c>
      <c r="B48" s="80"/>
      <c r="C48" s="81"/>
      <c r="D48" s="80"/>
      <c r="E48" s="81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0"/>
      <c r="S48" s="81"/>
      <c r="T48" s="80"/>
      <c r="U48" s="81"/>
    </row>
    <row r="49" spans="1:21" ht="12.75">
      <c r="A49" s="93"/>
      <c r="B49" s="80"/>
      <c r="C49" s="81"/>
      <c r="D49" s="80"/>
      <c r="E49" s="81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R49" s="80"/>
      <c r="S49" s="81"/>
      <c r="T49" s="80"/>
      <c r="U49" s="81"/>
    </row>
    <row r="50" spans="1:21" ht="12.75">
      <c r="A50" s="81" t="s">
        <v>297</v>
      </c>
      <c r="B50" s="80"/>
      <c r="C50" s="81"/>
      <c r="D50" s="80"/>
      <c r="E50" s="87">
        <f>+riclassificazione!D70-riclassificazione!D66-riclassificazione!B70-riclassificazione!D65+riclassificazione!D151-riclassificazione!D58+riclassificazione!B58</f>
        <v>1431</v>
      </c>
      <c r="F50" s="80"/>
      <c r="G50" s="87">
        <f>+riclassificazione!F70-riclassificazione!F66-riclassificazione!D70-riclassificazione!F65+riclassificazione!F151-riclassificazione!F58+riclassificazione!D58</f>
        <v>0</v>
      </c>
      <c r="H50" s="80"/>
      <c r="I50" s="87">
        <f>+riclassificazione!H70-riclassificazione!H66-riclassificazione!F70-riclassificazione!H65+riclassificazione!H151-riclassificazione!H58+riclassificazione!F58</f>
        <v>0</v>
      </c>
      <c r="J50" s="80"/>
      <c r="K50" s="87">
        <f>+riclassificazione!J70-riclassificazione!J66-riclassificazione!H70-riclassificazione!J65+riclassificazione!J151-riclassificazione!J58+riclassificazione!H58</f>
        <v>0</v>
      </c>
      <c r="L50" s="80"/>
      <c r="M50" s="87">
        <f>+riclassificazione!L70-riclassificazione!L66-riclassificazione!J70-riclassificazione!L65+riclassificazione!L151-riclassificazione!L58+riclassificazione!J58+riclassificazione!J155</f>
        <v>350</v>
      </c>
      <c r="N50" s="80"/>
      <c r="O50" s="87">
        <f>+riclassificazione!N70-riclassificazione!N66-riclassificazione!L70-riclassificazione!N65+riclassificazione!N151-riclassificazione!N58+riclassificazione!L58</f>
        <v>964</v>
      </c>
      <c r="P50" s="80"/>
      <c r="Q50" s="87">
        <f>+riclassificazione!P70-riclassificazione!P66-riclassificazione!N70-riclassificazione!P65+riclassificazione!P151-riclassificazione!P58+riclassificazione!N58</f>
        <v>0</v>
      </c>
      <c r="R50" s="80"/>
      <c r="S50" s="87">
        <f>+riclassificazione!R70-riclassificazione!R66-riclassificazione!P70-riclassificazione!R65+riclassificazione!R151-riclassificazione!R58+riclassificazione!P58</f>
        <v>0</v>
      </c>
      <c r="T50" s="80"/>
      <c r="U50" s="87">
        <f>+riclassificazione!T70-riclassificazione!T66-riclassificazione!R70-riclassificazione!T65+riclassificazione!T151-riclassificazione!T58+riclassificazione!R58</f>
        <v>0</v>
      </c>
    </row>
    <row r="51" spans="1:21" ht="12.75">
      <c r="A51" s="81" t="s">
        <v>199</v>
      </c>
      <c r="B51" s="80"/>
      <c r="C51" s="87">
        <v>-350</v>
      </c>
      <c r="D51" s="80"/>
      <c r="E51" s="87">
        <f>+riclassificazione!D84-riclassificazione!B84-riclassificazione!D82+riclassificazione!B82</f>
        <v>-2491</v>
      </c>
      <c r="F51" s="80"/>
      <c r="G51" s="87">
        <f>+riclassificazione!F84-riclassificazione!D84-riclassificazione!F82+riclassificazione!D82</f>
        <v>809</v>
      </c>
      <c r="H51" s="80"/>
      <c r="I51" s="87">
        <f>+riclassificazione!H84-riclassificazione!F84-riclassificazione!H82+riclassificazione!F82</f>
        <v>-543</v>
      </c>
      <c r="J51" s="80"/>
      <c r="K51" s="87">
        <f>+riclassificazione!J84-riclassificazione!H84-riclassificazione!J82+riclassificazione!H82</f>
        <v>1798</v>
      </c>
      <c r="L51" s="80"/>
      <c r="M51" s="87">
        <f>+riclassificazione!L84-riclassificazione!J84-riclassificazione!L82+riclassificazione!J82</f>
        <v>-548</v>
      </c>
      <c r="N51" s="80"/>
      <c r="O51" s="87">
        <f>+riclassificazione!N84-riclassificazione!L84-riclassificazione!N82+riclassificazione!L82</f>
        <v>-149</v>
      </c>
      <c r="P51" s="80"/>
      <c r="Q51" s="87">
        <f>+riclassificazione!P84-riclassificazione!N84-riclassificazione!P82+riclassificazione!N82</f>
        <v>165</v>
      </c>
      <c r="R51" s="80"/>
      <c r="S51" s="87">
        <f>+riclassificazione!R84-riclassificazione!P84-riclassificazione!R82+riclassificazione!P82</f>
        <v>1242</v>
      </c>
      <c r="T51" s="80"/>
      <c r="U51" s="87">
        <f>+riclassificazione!T84-riclassificazione!R84-riclassificazione!T82+riclassificazione!R82</f>
        <v>-250</v>
      </c>
    </row>
    <row r="52" spans="1:21" ht="12.75">
      <c r="A52" s="81" t="s">
        <v>200</v>
      </c>
      <c r="B52" s="80"/>
      <c r="C52" s="87">
        <v>279</v>
      </c>
      <c r="D52" s="80"/>
      <c r="E52" s="87">
        <f>+riclassificazione!D91-riclassificazione!B91</f>
        <v>-694</v>
      </c>
      <c r="F52" s="80"/>
      <c r="G52" s="87">
        <f>+riclassificazione!F91-riclassificazione!D91</f>
        <v>-168</v>
      </c>
      <c r="H52" s="80"/>
      <c r="I52" s="87">
        <f>+riclassificazione!H91-riclassificazione!F91</f>
        <v>1699</v>
      </c>
      <c r="J52" s="80"/>
      <c r="K52" s="87">
        <f>+riclassificazione!J91-riclassificazione!H91</f>
        <v>-296</v>
      </c>
      <c r="L52" s="80"/>
      <c r="M52" s="87">
        <f>+riclassificazione!L91-riclassificazione!J91</f>
        <v>1587</v>
      </c>
      <c r="N52" s="80"/>
      <c r="O52" s="87">
        <f>+riclassificazione!N91-riclassificazione!L91</f>
        <v>1403</v>
      </c>
      <c r="P52" s="80"/>
      <c r="Q52" s="87">
        <f>+riclassificazione!P91-riclassificazione!N91</f>
        <v>704</v>
      </c>
      <c r="R52" s="80"/>
      <c r="S52" s="87">
        <f>+riclassificazione!R91-riclassificazione!P91</f>
        <v>-1949</v>
      </c>
      <c r="T52" s="80"/>
      <c r="U52" s="87">
        <f>+riclassificazione!T91-riclassificazione!R91</f>
        <v>696</v>
      </c>
    </row>
    <row r="53" spans="1:21" ht="12.75">
      <c r="A53" s="81" t="s">
        <v>201</v>
      </c>
      <c r="B53" s="80"/>
      <c r="C53" s="87">
        <v>-41</v>
      </c>
      <c r="D53" s="80"/>
      <c r="E53" s="87">
        <f>+riclassificazione!B66</f>
        <v>0</v>
      </c>
      <c r="F53" s="80"/>
      <c r="G53" s="87">
        <f>+riclassificazione!D66</f>
        <v>0</v>
      </c>
      <c r="H53" s="80"/>
      <c r="I53" s="87">
        <f>+riclassificazione!F66</f>
        <v>0</v>
      </c>
      <c r="J53" s="80"/>
      <c r="K53" s="87">
        <f>+riclassificazione!H66</f>
        <v>0</v>
      </c>
      <c r="L53" s="80"/>
      <c r="M53" s="87">
        <f>+riclassificazione!J66</f>
        <v>0</v>
      </c>
      <c r="N53" s="80"/>
      <c r="O53" s="87">
        <f>+riclassificazione!L66</f>
        <v>0</v>
      </c>
      <c r="P53" s="80"/>
      <c r="Q53" s="87">
        <f>+riclassificazione!N66</f>
        <v>0</v>
      </c>
      <c r="R53" s="80"/>
      <c r="S53" s="87">
        <f>+riclassificazione!P66</f>
        <v>0</v>
      </c>
      <c r="T53" s="80"/>
      <c r="U53" s="87">
        <f>+riclassificazione!R66</f>
        <v>0</v>
      </c>
    </row>
    <row r="54" spans="1:21" ht="12.75" hidden="1">
      <c r="A54" s="81"/>
      <c r="B54" s="80"/>
      <c r="C54" s="81"/>
      <c r="D54" s="80"/>
      <c r="E54" s="86"/>
      <c r="F54" s="80"/>
      <c r="G54" s="86"/>
      <c r="H54" s="80"/>
      <c r="I54" s="86"/>
      <c r="J54" s="80"/>
      <c r="K54" s="86"/>
      <c r="L54" s="80"/>
      <c r="M54" s="86"/>
      <c r="N54" s="80"/>
      <c r="O54" s="86"/>
      <c r="P54" s="80"/>
      <c r="Q54" s="86"/>
      <c r="R54" s="80"/>
      <c r="S54" s="86"/>
      <c r="T54" s="80"/>
      <c r="U54" s="86"/>
    </row>
    <row r="55" spans="1:21" ht="12.75">
      <c r="A55" s="81"/>
      <c r="B55" s="80"/>
      <c r="C55" s="81"/>
      <c r="D55" s="80"/>
      <c r="E55" s="81"/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0"/>
      <c r="S55" s="81"/>
      <c r="T55" s="80"/>
      <c r="U55" s="81"/>
    </row>
    <row r="56" spans="1:21" ht="21.75">
      <c r="A56" s="92" t="s">
        <v>202</v>
      </c>
      <c r="B56" s="80"/>
      <c r="C56" s="85">
        <v>-112</v>
      </c>
      <c r="D56" s="80"/>
      <c r="E56" s="85">
        <f>SUM(E50:E55)</f>
        <v>-1754</v>
      </c>
      <c r="F56" s="80"/>
      <c r="G56" s="85">
        <f>SUM(G50:G55)</f>
        <v>641</v>
      </c>
      <c r="H56" s="80"/>
      <c r="I56" s="85">
        <f>SUM(I50:I55)</f>
        <v>1156</v>
      </c>
      <c r="J56" s="80"/>
      <c r="K56" s="85">
        <f>SUM(K50:K55)</f>
        <v>1502</v>
      </c>
      <c r="L56" s="80"/>
      <c r="M56" s="85">
        <f>SUM(M50:M55)</f>
        <v>1389</v>
      </c>
      <c r="N56" s="80"/>
      <c r="O56" s="85">
        <f>SUM(O50:O55)</f>
        <v>2218</v>
      </c>
      <c r="P56" s="80"/>
      <c r="Q56" s="85">
        <f>SUM(Q50:Q55)</f>
        <v>869</v>
      </c>
      <c r="R56" s="80"/>
      <c r="S56" s="85">
        <f>SUM(S50:S55)</f>
        <v>-707</v>
      </c>
      <c r="T56" s="80"/>
      <c r="U56" s="85">
        <f>SUM(U50:U55)</f>
        <v>446</v>
      </c>
    </row>
    <row r="57" spans="1:21" ht="12.75">
      <c r="A57" s="81"/>
      <c r="B57" s="80"/>
      <c r="C57" s="81"/>
      <c r="D57" s="80"/>
      <c r="E57" s="81"/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0"/>
      <c r="S57" s="81"/>
      <c r="T57" s="80"/>
      <c r="U57" s="81"/>
    </row>
    <row r="58" spans="1:21" ht="12.75">
      <c r="A58" s="94" t="s">
        <v>203</v>
      </c>
      <c r="B58" s="80"/>
      <c r="C58" s="87">
        <v>-36</v>
      </c>
      <c r="D58" s="80"/>
      <c r="E58" s="87">
        <f>+riclassificazione!D37-riclassificazione!B37</f>
        <v>58</v>
      </c>
      <c r="F58" s="80"/>
      <c r="G58" s="87">
        <f>+riclassificazione!F37-riclassificazione!D37</f>
        <v>328</v>
      </c>
      <c r="H58" s="80"/>
      <c r="I58" s="87">
        <f>+riclassificazione!H37-riclassificazione!F37</f>
        <v>-33</v>
      </c>
      <c r="J58" s="80"/>
      <c r="K58" s="87">
        <f>+riclassificazione!J37-riclassificazione!H37</f>
        <v>-209</v>
      </c>
      <c r="L58" s="80"/>
      <c r="M58" s="87">
        <f>+riclassificazione!L37-riclassificazione!J37</f>
        <v>-25</v>
      </c>
      <c r="N58" s="80"/>
      <c r="O58" s="87">
        <f>+riclassificazione!N37-riclassificazione!L37</f>
        <v>36</v>
      </c>
      <c r="P58" s="80"/>
      <c r="Q58" s="87">
        <f>+riclassificazione!P37-riclassificazione!N37</f>
        <v>-114</v>
      </c>
      <c r="R58" s="80"/>
      <c r="S58" s="87">
        <f>+riclassificazione!R37-riclassificazione!P37</f>
        <v>-78</v>
      </c>
      <c r="T58" s="80"/>
      <c r="U58" s="87">
        <f>+riclassificazione!T37-riclassificazione!R37</f>
        <v>142</v>
      </c>
    </row>
    <row r="59" spans="1:21" ht="12.75">
      <c r="A59" s="95"/>
      <c r="B59" s="80"/>
      <c r="C59" s="81"/>
      <c r="D59" s="80"/>
      <c r="E59" s="81"/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0"/>
      <c r="S59" s="81"/>
      <c r="T59" s="80"/>
      <c r="U59" s="81"/>
    </row>
    <row r="60" spans="1:21" ht="12.75" hidden="1">
      <c r="A60" s="95"/>
      <c r="B60" s="80"/>
      <c r="C60" s="81"/>
      <c r="D60" s="80"/>
      <c r="E60" s="81"/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0"/>
      <c r="S60" s="81"/>
      <c r="T60" s="80"/>
      <c r="U60" s="81"/>
    </row>
    <row r="61" spans="1:21" ht="12.75" hidden="1">
      <c r="A61" s="96"/>
      <c r="B61" s="97"/>
      <c r="C61" s="98"/>
      <c r="D61" s="97"/>
      <c r="E61" s="99"/>
      <c r="F61" s="97"/>
      <c r="G61" s="99"/>
      <c r="H61" s="97"/>
      <c r="I61" s="99"/>
      <c r="J61" s="97"/>
      <c r="K61" s="99"/>
      <c r="L61" s="97"/>
      <c r="M61" s="99"/>
      <c r="N61" s="97"/>
      <c r="O61" s="99"/>
      <c r="P61" s="97"/>
      <c r="Q61" s="99"/>
      <c r="R61" s="97"/>
      <c r="S61" s="99"/>
      <c r="T61" s="97"/>
      <c r="U61" s="99"/>
    </row>
    <row r="62" spans="1:21" ht="12.75">
      <c r="A62" s="100" t="s">
        <v>204</v>
      </c>
      <c r="B62" s="80"/>
      <c r="C62" s="85">
        <v>55</v>
      </c>
      <c r="D62" s="80"/>
      <c r="E62" s="85">
        <f>+riclassificazione!B37</f>
        <v>54</v>
      </c>
      <c r="F62" s="80"/>
      <c r="G62" s="85">
        <f>+riclassificazione!D37</f>
        <v>112</v>
      </c>
      <c r="H62" s="80"/>
      <c r="I62" s="85">
        <f>+riclassificazione!F37</f>
        <v>440</v>
      </c>
      <c r="J62" s="80"/>
      <c r="K62" s="85">
        <f>+riclassificazione!H37</f>
        <v>407</v>
      </c>
      <c r="L62" s="80"/>
      <c r="M62" s="85">
        <f>+riclassificazione!J37</f>
        <v>198</v>
      </c>
      <c r="N62" s="80"/>
      <c r="O62" s="85">
        <f>+riclassificazione!L37</f>
        <v>173</v>
      </c>
      <c r="P62" s="80"/>
      <c r="Q62" s="85">
        <f>+riclassificazione!N37</f>
        <v>209</v>
      </c>
      <c r="R62" s="80"/>
      <c r="S62" s="85">
        <f>+riclassificazione!P37</f>
        <v>95</v>
      </c>
      <c r="T62" s="80"/>
      <c r="U62" s="85">
        <f>+riclassificazione!R37</f>
        <v>17</v>
      </c>
    </row>
    <row r="63" spans="1:21" ht="12.75">
      <c r="A63" s="96" t="s">
        <v>205</v>
      </c>
      <c r="B63" s="97"/>
      <c r="C63" s="99">
        <v>19</v>
      </c>
      <c r="D63" s="97"/>
      <c r="E63" s="99">
        <f>+riclassificazione!D37</f>
        <v>112</v>
      </c>
      <c r="F63" s="97"/>
      <c r="G63" s="99">
        <f>+riclassificazione!F37</f>
        <v>440</v>
      </c>
      <c r="H63" s="97"/>
      <c r="I63" s="99">
        <f>+riclassificazione!H37</f>
        <v>407</v>
      </c>
      <c r="J63" s="97"/>
      <c r="K63" s="99">
        <f>+riclassificazione!J37</f>
        <v>198</v>
      </c>
      <c r="L63" s="97"/>
      <c r="M63" s="99">
        <f>+riclassificazione!L37</f>
        <v>173</v>
      </c>
      <c r="N63" s="97"/>
      <c r="O63" s="99">
        <f>+riclassificazione!N37</f>
        <v>209</v>
      </c>
      <c r="P63" s="97"/>
      <c r="Q63" s="99">
        <f>+riclassificazione!P37</f>
        <v>95</v>
      </c>
      <c r="R63" s="97"/>
      <c r="S63" s="99">
        <f>+riclassificazione!R37</f>
        <v>17</v>
      </c>
      <c r="T63" s="97"/>
      <c r="U63" s="99">
        <f>+riclassificazione!T37</f>
        <v>159</v>
      </c>
    </row>
    <row r="64" spans="1:21" ht="12.75" hidden="1">
      <c r="A64" s="4"/>
      <c r="C64" s="16"/>
      <c r="E64" s="16"/>
      <c r="G64" s="16"/>
      <c r="I64" s="16"/>
      <c r="K64" s="16"/>
      <c r="M64" s="16"/>
      <c r="O64" s="16"/>
      <c r="Q64" s="16"/>
      <c r="S64" s="16"/>
      <c r="U64" s="16"/>
    </row>
    <row r="65" spans="1:21" ht="12.75" hidden="1">
      <c r="A65" s="42" t="s">
        <v>206</v>
      </c>
      <c r="B65" s="15"/>
      <c r="C65" s="34">
        <v>-36</v>
      </c>
      <c r="D65" s="15"/>
      <c r="E65" s="34">
        <f>+E31+E45+E56</f>
        <v>58</v>
      </c>
      <c r="F65" s="15"/>
      <c r="G65" s="34">
        <f>+G31+G45+G56</f>
        <v>328</v>
      </c>
      <c r="H65" s="15"/>
      <c r="I65" s="34">
        <f>+I31+I45+I56</f>
        <v>-33</v>
      </c>
      <c r="J65" s="15"/>
      <c r="K65" s="34">
        <f>+K31+K45+K56</f>
        <v>-209</v>
      </c>
      <c r="L65" s="15"/>
      <c r="M65" s="34">
        <f>+M31+M45+M56</f>
        <v>-25</v>
      </c>
      <c r="N65" s="15"/>
      <c r="O65" s="34">
        <f>+O31+O45+O56</f>
        <v>36</v>
      </c>
      <c r="P65" s="15"/>
      <c r="Q65" s="34">
        <f>+Q31+Q45+Q56</f>
        <v>-114</v>
      </c>
      <c r="R65" s="15"/>
      <c r="S65" s="34">
        <f>+S31+S45+S56</f>
        <v>-78</v>
      </c>
      <c r="T65" s="15"/>
      <c r="U65" s="34">
        <f>+U31+U45+U56</f>
        <v>142</v>
      </c>
    </row>
    <row r="66" ht="12.75" hidden="1"/>
    <row r="67" spans="3:21" ht="12.75" hidden="1">
      <c r="C67" s="39">
        <f>+C62+C58-C63</f>
        <v>0</v>
      </c>
      <c r="E67" s="39">
        <f>+E62+E58-E63</f>
        <v>0</v>
      </c>
      <c r="G67" s="39">
        <f>+G62+G58-G63</f>
        <v>0</v>
      </c>
      <c r="I67" s="39">
        <f>+I62+I58-I63</f>
        <v>0</v>
      </c>
      <c r="K67" s="39">
        <f>+K62+K58-K63</f>
        <v>0</v>
      </c>
      <c r="M67" s="39">
        <f>+M62+M58-M63</f>
        <v>0</v>
      </c>
      <c r="O67" s="39">
        <f>+O62+O58-O63</f>
        <v>0</v>
      </c>
      <c r="Q67" s="39">
        <f>+Q62+Q58-Q63</f>
        <v>0</v>
      </c>
      <c r="S67" s="39">
        <f>+S62+S58-S63</f>
        <v>0</v>
      </c>
      <c r="U67" s="39">
        <f>+U62+U58-U63</f>
        <v>0</v>
      </c>
    </row>
    <row r="68" spans="3:21" ht="12.75" hidden="1">
      <c r="C68" s="39">
        <f>+C58-C65</f>
        <v>0</v>
      </c>
      <c r="E68" s="39">
        <f>+E58-E65</f>
        <v>0</v>
      </c>
      <c r="G68" s="39">
        <f>+G58-G65</f>
        <v>0</v>
      </c>
      <c r="I68" s="39">
        <f>+I58-I65</f>
        <v>0</v>
      </c>
      <c r="K68" s="39">
        <f>+K58-K65</f>
        <v>0</v>
      </c>
      <c r="M68" s="39">
        <f>+M58-M65</f>
        <v>0</v>
      </c>
      <c r="O68" s="39">
        <f>+O58-O65</f>
        <v>0</v>
      </c>
      <c r="Q68" s="39">
        <f>+Q58-Q65</f>
        <v>0</v>
      </c>
      <c r="S68" s="39">
        <f>+S58-S65</f>
        <v>0</v>
      </c>
      <c r="U68" s="39">
        <f>+U58-U65</f>
        <v>0</v>
      </c>
    </row>
    <row r="69" spans="5:7" ht="12.75">
      <c r="E69" s="39"/>
      <c r="G69" s="39"/>
    </row>
  </sheetData>
  <sheetProtection/>
  <printOptions gridLines="1" horizontalCentered="1" verticalCentered="1"/>
  <pageMargins left="0.15748031496062992" right="0.15748031496062992" top="0.1968503937007874" bottom="0.1968503937007874" header="0" footer="0.11811023622047245"/>
  <pageSetup fitToHeight="1" fitToWidth="1" horizontalDpi="300" verticalDpi="300" orientation="landscape" paperSize="9" scale="81" r:id="rId1"/>
  <headerFooter alignWithMargins="0">
    <oddFooter>&amp;C&amp;P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PageLayoutView="0" workbookViewId="0" topLeftCell="A1">
      <pane xSplit="1" ySplit="3" topLeftCell="B8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8" sqref="A78"/>
    </sheetView>
  </sheetViews>
  <sheetFormatPr defaultColWidth="9.140625" defaultRowHeight="12.75"/>
  <cols>
    <col min="1" max="1" width="40.140625" style="0" customWidth="1"/>
    <col min="2" max="2" width="9.28125" style="0" customWidth="1"/>
    <col min="3" max="3" width="7.421875" style="0" customWidth="1"/>
    <col min="4" max="4" width="11.28125" style="0" bestFit="1" customWidth="1"/>
    <col min="5" max="5" width="6.140625" style="0" customWidth="1"/>
    <col min="6" max="6" width="11.140625" style="0" bestFit="1" customWidth="1"/>
    <col min="7" max="7" width="7.140625" style="0" customWidth="1"/>
    <col min="8" max="8" width="10.8515625" style="0" customWidth="1"/>
    <col min="9" max="9" width="6.8515625" style="0" customWidth="1"/>
    <col min="10" max="10" width="8.28125" style="0" customWidth="1"/>
    <col min="11" max="11" width="7.140625" style="0" customWidth="1"/>
    <col min="12" max="12" width="8.8515625" style="0" customWidth="1"/>
    <col min="13" max="13" width="7.140625" style="0" customWidth="1"/>
    <col min="14" max="14" width="8.7109375" style="0" customWidth="1"/>
    <col min="15" max="15" width="7.140625" style="0" customWidth="1"/>
    <col min="16" max="16" width="8.7109375" style="0" customWidth="1"/>
    <col min="17" max="17" width="6.8515625" style="0" customWidth="1"/>
    <col min="18" max="18" width="8.7109375" style="0" customWidth="1"/>
    <col min="19" max="19" width="7.140625" style="0" customWidth="1"/>
    <col min="20" max="20" width="9.421875" style="0" customWidth="1"/>
    <col min="21" max="21" width="7.140625" style="0" customWidth="1"/>
  </cols>
  <sheetData>
    <row r="1" spans="1:21" ht="12.75">
      <c r="A1" s="222" t="s">
        <v>24</v>
      </c>
      <c r="B1" s="222"/>
      <c r="C1" s="222"/>
      <c r="D1" s="222"/>
      <c r="E1" s="222"/>
      <c r="F1" s="222" t="str">
        <f>+riclassificazione!F1</f>
        <v>Brianza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 ht="12.75">
      <c r="A2" s="222" t="str">
        <f>+riclassificazione!A2</f>
        <v>Minuterie metalliche</v>
      </c>
      <c r="B2" s="222"/>
      <c r="C2" s="222"/>
      <c r="D2" s="222" t="s">
        <v>3</v>
      </c>
      <c r="E2" s="222"/>
      <c r="F2" s="222"/>
      <c r="G2" s="106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12.75">
      <c r="A3" s="79" t="s">
        <v>327</v>
      </c>
      <c r="B3" s="233">
        <f>+riclassificazione!B3</f>
        <v>37256</v>
      </c>
      <c r="C3" s="237"/>
      <c r="D3" s="233">
        <f>+riclassificazione!D3</f>
        <v>37621</v>
      </c>
      <c r="E3" s="237"/>
      <c r="F3" s="233">
        <f>+riclassificazione!F3</f>
        <v>37986</v>
      </c>
      <c r="G3" s="234"/>
      <c r="H3" s="233">
        <f>+riclassificazione!H3</f>
        <v>38352</v>
      </c>
      <c r="I3" s="234"/>
      <c r="J3" s="233">
        <f>+riclassificazione!J3</f>
        <v>38717</v>
      </c>
      <c r="K3" s="234"/>
      <c r="L3" s="233">
        <f>+riclassificazione!L3</f>
        <v>39082</v>
      </c>
      <c r="M3" s="234"/>
      <c r="N3" s="233">
        <f>+riclassificazione!N3</f>
        <v>39447</v>
      </c>
      <c r="O3" s="234"/>
      <c r="P3" s="233">
        <f>+riclassificazione!P3</f>
        <v>39813</v>
      </c>
      <c r="Q3" s="234"/>
      <c r="R3" s="233">
        <f>+riclassificazione!R3</f>
        <v>40178</v>
      </c>
      <c r="S3" s="234"/>
      <c r="T3" s="233">
        <f>+riclassificazione!T3</f>
        <v>40543</v>
      </c>
      <c r="U3" s="234"/>
    </row>
    <row r="4" spans="1:21" ht="12.75">
      <c r="A4" s="90" t="s">
        <v>113</v>
      </c>
      <c r="B4" s="101"/>
      <c r="C4" s="102"/>
      <c r="D4" s="101"/>
      <c r="E4" s="102"/>
      <c r="F4" s="101"/>
      <c r="G4" s="102"/>
      <c r="H4" s="101"/>
      <c r="I4" s="103"/>
      <c r="J4" s="101"/>
      <c r="K4" s="103"/>
      <c r="L4" s="101"/>
      <c r="M4" s="103"/>
      <c r="N4" s="101"/>
      <c r="O4" s="103"/>
      <c r="P4" s="101"/>
      <c r="Q4" s="103"/>
      <c r="R4" s="101"/>
      <c r="S4" s="103"/>
      <c r="T4" s="101"/>
      <c r="U4" s="103"/>
    </row>
    <row r="5" spans="1:21" ht="12.75">
      <c r="A5" s="104" t="s">
        <v>114</v>
      </c>
      <c r="B5" s="105"/>
      <c r="C5" s="76"/>
      <c r="D5" s="105"/>
      <c r="E5" s="76"/>
      <c r="F5" s="105"/>
      <c r="G5" s="76"/>
      <c r="H5" s="105"/>
      <c r="I5" s="81"/>
      <c r="J5" s="105"/>
      <c r="K5" s="81"/>
      <c r="L5" s="105"/>
      <c r="M5" s="81"/>
      <c r="N5" s="105"/>
      <c r="O5" s="81"/>
      <c r="P5" s="105"/>
      <c r="Q5" s="81"/>
      <c r="R5" s="105"/>
      <c r="S5" s="81"/>
      <c r="T5" s="105"/>
      <c r="U5" s="81"/>
    </row>
    <row r="6" spans="1:21" ht="12.75">
      <c r="A6" s="106" t="s">
        <v>115</v>
      </c>
      <c r="B6" s="107">
        <f>+riclassificazione!B37</f>
        <v>54</v>
      </c>
      <c r="C6" s="108"/>
      <c r="D6" s="107">
        <f>+riclassificazione!D37</f>
        <v>112</v>
      </c>
      <c r="E6" s="108"/>
      <c r="F6" s="107">
        <f>+riclassificazione!F37</f>
        <v>440</v>
      </c>
      <c r="G6" s="108"/>
      <c r="H6" s="107">
        <f>+riclassificazione!H37</f>
        <v>407</v>
      </c>
      <c r="I6" s="81"/>
      <c r="J6" s="107">
        <f>+riclassificazione!J37</f>
        <v>198</v>
      </c>
      <c r="K6" s="81"/>
      <c r="L6" s="107">
        <f>+riclassificazione!L37</f>
        <v>173</v>
      </c>
      <c r="M6" s="81"/>
      <c r="N6" s="107">
        <f>+riclassificazione!N37</f>
        <v>209</v>
      </c>
      <c r="O6" s="81"/>
      <c r="P6" s="107">
        <f>+riclassificazione!P37</f>
        <v>95</v>
      </c>
      <c r="Q6" s="81"/>
      <c r="R6" s="107">
        <f>+riclassificazione!R37</f>
        <v>17</v>
      </c>
      <c r="S6" s="81"/>
      <c r="T6" s="107">
        <f>+riclassificazione!T37</f>
        <v>159</v>
      </c>
      <c r="U6" s="81"/>
    </row>
    <row r="7" spans="1:21" ht="12.75">
      <c r="A7" s="106" t="s">
        <v>284</v>
      </c>
      <c r="B7" s="107">
        <f>+riclassificazione!B30</f>
        <v>3</v>
      </c>
      <c r="C7" s="108"/>
      <c r="D7" s="107">
        <f>+riclassificazione!D30</f>
        <v>252</v>
      </c>
      <c r="E7" s="108"/>
      <c r="F7" s="107">
        <f>+riclassificazione!F30</f>
        <v>249</v>
      </c>
      <c r="G7" s="108"/>
      <c r="H7" s="107">
        <f>+riclassificazione!H30</f>
        <v>0</v>
      </c>
      <c r="I7" s="81"/>
      <c r="J7" s="107">
        <f>+riclassificazione!J30</f>
        <v>350</v>
      </c>
      <c r="K7" s="81"/>
      <c r="L7" s="107">
        <f>+riclassificazione!L30</f>
        <v>0</v>
      </c>
      <c r="M7" s="81"/>
      <c r="N7" s="107">
        <f>+riclassificazione!N30</f>
        <v>29</v>
      </c>
      <c r="O7" s="81"/>
      <c r="P7" s="107">
        <f>+riclassificazione!P30</f>
        <v>256</v>
      </c>
      <c r="Q7" s="81"/>
      <c r="R7" s="107">
        <f>+riclassificazione!R30</f>
        <v>256</v>
      </c>
      <c r="S7" s="81"/>
      <c r="T7" s="107">
        <f>+riclassificazione!T30</f>
        <v>2306</v>
      </c>
      <c r="U7" s="81"/>
    </row>
    <row r="8" spans="1:21" ht="12.75">
      <c r="A8" s="106" t="s">
        <v>285</v>
      </c>
      <c r="B8" s="107">
        <f>+riclassificazione!B14+riclassificazione!B15</f>
        <v>0</v>
      </c>
      <c r="C8" s="108"/>
      <c r="D8" s="107">
        <f>+riclassificazione!D14+riclassificazione!D15</f>
        <v>0</v>
      </c>
      <c r="E8" s="108"/>
      <c r="F8" s="107">
        <f>+riclassificazione!F14+riclassificazione!F15</f>
        <v>0</v>
      </c>
      <c r="G8" s="108"/>
      <c r="H8" s="107">
        <f>+riclassificazione!H14+riclassificazione!H15</f>
        <v>250</v>
      </c>
      <c r="I8" s="81"/>
      <c r="J8" s="107">
        <f>+riclassificazione!J14+riclassificazione!J15</f>
        <v>1168</v>
      </c>
      <c r="K8" s="81"/>
      <c r="L8" s="107">
        <f>+riclassificazione!L14+riclassificazione!L15</f>
        <v>1214</v>
      </c>
      <c r="M8" s="81"/>
      <c r="N8" s="107">
        <f>+riclassificazione!N14+riclassificazione!N15</f>
        <v>1571</v>
      </c>
      <c r="O8" s="81"/>
      <c r="P8" s="107">
        <f>+riclassificazione!P14+riclassificazione!P15</f>
        <v>2145</v>
      </c>
      <c r="Q8" s="81"/>
      <c r="R8" s="107">
        <f>+riclassificazione!R14+riclassificazione!R15</f>
        <v>1845</v>
      </c>
      <c r="S8" s="81"/>
      <c r="T8" s="107">
        <f>+riclassificazione!T14+riclassificazione!T15</f>
        <v>0</v>
      </c>
      <c r="U8" s="81"/>
    </row>
    <row r="9" spans="1:21" ht="12.75">
      <c r="A9" s="109" t="s">
        <v>286</v>
      </c>
      <c r="B9" s="110">
        <f>SUM(B6:B8)</f>
        <v>57</v>
      </c>
      <c r="C9" s="111">
        <f>+B9/B16</f>
        <v>0.0036705518706935413</v>
      </c>
      <c r="D9" s="110">
        <f>SUM(D6:D8)</f>
        <v>364</v>
      </c>
      <c r="E9" s="111">
        <f>+D9/D16</f>
        <v>0.026434277414669572</v>
      </c>
      <c r="F9" s="110">
        <f>SUM(F6:F8)</f>
        <v>689</v>
      </c>
      <c r="G9" s="111">
        <f>+F9/F16</f>
        <v>0.048087660524846455</v>
      </c>
      <c r="H9" s="110">
        <f>SUM(H6:H8)</f>
        <v>657</v>
      </c>
      <c r="I9" s="111">
        <f>+H9/H16</f>
        <v>0.042695606966467375</v>
      </c>
      <c r="J9" s="110">
        <f>SUM(J6:J8)</f>
        <v>1716</v>
      </c>
      <c r="K9" s="111">
        <f>+J9/J16</f>
        <v>0.10115538788021693</v>
      </c>
      <c r="L9" s="110">
        <f>SUM(L6:L8)</f>
        <v>1387</v>
      </c>
      <c r="M9" s="111">
        <f>+L9/L16</f>
        <v>0.08095488239070799</v>
      </c>
      <c r="N9" s="110">
        <f>SUM(N6:N8)</f>
        <v>1809</v>
      </c>
      <c r="O9" s="111">
        <f>+N9/N16</f>
        <v>0.09297425091226807</v>
      </c>
      <c r="P9" s="110">
        <f>SUM(P6:P8)</f>
        <v>2496</v>
      </c>
      <c r="Q9" s="111">
        <f>+P9/P16</f>
        <v>0.0891110317743663</v>
      </c>
      <c r="R9" s="110">
        <f>SUM(R6:R8)</f>
        <v>2118</v>
      </c>
      <c r="S9" s="111">
        <f>+R9/R16</f>
        <v>0.07945380200322617</v>
      </c>
      <c r="T9" s="110">
        <f>SUM(T6:T8)</f>
        <v>2465</v>
      </c>
      <c r="U9" s="111">
        <f>+T9/T16</f>
        <v>0.14683981652469172</v>
      </c>
    </row>
    <row r="10" spans="1:21" ht="12.75">
      <c r="A10" s="106" t="s">
        <v>116</v>
      </c>
      <c r="B10" s="112">
        <f>+riclassificazione!B27+riclassificazione!B17+riclassificazione!B29+riclassificazione!B32-riclassificazione!B82-riclassificazione!B95-riclassificazione!B97-riclassificazione!B98</f>
        <v>9544</v>
      </c>
      <c r="C10" s="113">
        <f>+B10/B16</f>
        <v>0.6145920535771782</v>
      </c>
      <c r="D10" s="112">
        <f>+riclassificazione!D27+riclassificazione!D17+riclassificazione!D29+riclassificazione!D32-riclassificazione!D82-riclassificazione!D95-riclassificazione!D97-riclassificazione!D98</f>
        <v>6940</v>
      </c>
      <c r="E10" s="113">
        <f>+D10/D16</f>
        <v>0.5039941902687001</v>
      </c>
      <c r="F10" s="112">
        <f>+riclassificazione!F27+riclassificazione!F17+riclassificazione!F29+riclassificazione!F32-riclassificazione!F82-riclassificazione!F95-riclassificazione!F97-riclassificazione!F98</f>
        <v>6555</v>
      </c>
      <c r="G10" s="113">
        <f>+F10/F16</f>
        <v>0.4574958123953099</v>
      </c>
      <c r="H10" s="112">
        <f>+riclassificazione!H27+riclassificazione!H17+riclassificazione!H29+riclassificazione!H32-riclassificazione!H82-riclassificazione!H95-riclassificazione!H97-riclassificazione!H98</f>
        <v>6756</v>
      </c>
      <c r="I10" s="113">
        <f>+H10/H16</f>
        <v>0.4390434104497011</v>
      </c>
      <c r="J10" s="112">
        <f>+riclassificazione!J27+riclassificazione!J17+riclassificazione!J29+riclassificazione!J32-riclassificazione!J82-riclassificazione!J95-riclassificazione!J97-riclassificazione!J98</f>
        <v>6833</v>
      </c>
      <c r="K10" s="113">
        <f>+J10/J16</f>
        <v>0.40279415232256544</v>
      </c>
      <c r="L10" s="112">
        <f>+riclassificazione!L27+riclassificazione!L17+riclassificazione!L29+riclassificazione!L32-riclassificazione!L82-riclassificazione!L95-riclassificazione!L97-riclassificazione!L98</f>
        <v>7700</v>
      </c>
      <c r="M10" s="113">
        <f>+L10/L16</f>
        <v>0.4494250860911691</v>
      </c>
      <c r="N10" s="112">
        <f>+riclassificazione!N27+riclassificazione!N17+riclassificazione!N29+riclassificazione!N32-riclassificazione!N82-riclassificazione!N95-riclassificazione!N97-riclassificazione!N98</f>
        <v>9245</v>
      </c>
      <c r="O10" s="113">
        <f>+N10/N16</f>
        <v>0.4751503315002313</v>
      </c>
      <c r="P10" s="112">
        <f>+riclassificazione!P27+riclassificazione!P17+riclassificazione!P29+riclassificazione!P32-riclassificazione!P82-riclassificazione!P95-riclassificazione!P97-riclassificazione!P98</f>
        <v>8103</v>
      </c>
      <c r="Q10" s="113">
        <f>+P10/P16</f>
        <v>0.28928953945019636</v>
      </c>
      <c r="R10" s="112">
        <f>+riclassificazione!R27+riclassificazione!R17+riclassificazione!R29+riclassificazione!R32-riclassificazione!R82-riclassificazione!R95-riclassificazione!R97-riclassificazione!R98</f>
        <v>7049</v>
      </c>
      <c r="S10" s="113">
        <f>+R10/R16</f>
        <v>0.2644333570919458</v>
      </c>
      <c r="T10" s="112">
        <f>+riclassificazione!T27+riclassificazione!T17+riclassificazione!T29+riclassificazione!T32-riclassificazione!T82-riclassificazione!T95-riclassificazione!T97-riclassificazione!T98</f>
        <v>2564</v>
      </c>
      <c r="U10" s="113">
        <f>+T10/T16</f>
        <v>0.15273723714779294</v>
      </c>
    </row>
    <row r="11" spans="1:21" ht="12.75">
      <c r="A11" s="106" t="s">
        <v>117</v>
      </c>
      <c r="B11" s="112">
        <f>+riclassificazione!B6</f>
        <v>240</v>
      </c>
      <c r="C11" s="113">
        <f>+B11/B16</f>
        <v>0.015454955245025437</v>
      </c>
      <c r="D11" s="112">
        <f>+riclassificazione!D6</f>
        <v>441</v>
      </c>
      <c r="E11" s="113">
        <f>+D11/D16</f>
        <v>0.03202614379084967</v>
      </c>
      <c r="F11" s="112">
        <f>+riclassificazione!F6</f>
        <v>552</v>
      </c>
      <c r="G11" s="113">
        <f>+F11/F16</f>
        <v>0.038525963149078725</v>
      </c>
      <c r="H11" s="112">
        <f>+riclassificazione!H6</f>
        <v>536</v>
      </c>
      <c r="I11" s="113">
        <f>+H11/H16</f>
        <v>0.03483233688588511</v>
      </c>
      <c r="J11" s="112">
        <f>+riclassificazione!J6</f>
        <v>526</v>
      </c>
      <c r="K11" s="113">
        <f>+J11/J16</f>
        <v>0.031006838009903323</v>
      </c>
      <c r="L11" s="112">
        <f>+riclassificazione!L6</f>
        <v>404</v>
      </c>
      <c r="M11" s="113">
        <f>+L11/L16</f>
        <v>0.02358022529621199</v>
      </c>
      <c r="N11" s="112">
        <f>+riclassificazione!N6</f>
        <v>320</v>
      </c>
      <c r="O11" s="113">
        <f>+N11/N16</f>
        <v>0.01644652310222542</v>
      </c>
      <c r="P11" s="112">
        <f>+riclassificazione!P6</f>
        <v>328</v>
      </c>
      <c r="Q11" s="113">
        <f>+P11/P16</f>
        <v>0.011710103534451982</v>
      </c>
      <c r="R11" s="112">
        <f>+riclassificazione!R6</f>
        <v>244</v>
      </c>
      <c r="S11" s="113">
        <f>+R11/R16</f>
        <v>0.009153318077803204</v>
      </c>
      <c r="T11" s="112">
        <f>+riclassificazione!T6</f>
        <v>140</v>
      </c>
      <c r="U11" s="113">
        <f>+T11/T16</f>
        <v>0.008339786739739084</v>
      </c>
    </row>
    <row r="12" spans="1:21" ht="12.75">
      <c r="A12" s="106" t="s">
        <v>118</v>
      </c>
      <c r="B12" s="107">
        <f>+riclassificazione!B11+riclassificazione!B12</f>
        <v>5832</v>
      </c>
      <c r="C12" s="113">
        <f>+B12/B16</f>
        <v>0.3755554124541181</v>
      </c>
      <c r="D12" s="107">
        <f>+riclassificazione!D11+riclassificazione!D12</f>
        <v>6210</v>
      </c>
      <c r="E12" s="113">
        <f>+D12/D16</f>
        <v>0.45098039215686275</v>
      </c>
      <c r="F12" s="107">
        <f>+riclassificazione!F11+riclassificazione!F12</f>
        <v>6841</v>
      </c>
      <c r="G12" s="113">
        <f>+F12/F16</f>
        <v>0.4774567280848688</v>
      </c>
      <c r="H12" s="107">
        <f>+riclassificazione!H11+riclassificazione!H12</f>
        <v>7394</v>
      </c>
      <c r="I12" s="113">
        <f>+H12/H16</f>
        <v>0.4805042890564076</v>
      </c>
      <c r="J12" s="107">
        <f>+riclassificazione!J11+riclassificazione!J12</f>
        <v>7750</v>
      </c>
      <c r="K12" s="113">
        <f>+J12/J16</f>
        <v>0.4568497995755718</v>
      </c>
      <c r="L12" s="107">
        <f>+riclassificazione!L11+riclassificazione!L12</f>
        <v>7444</v>
      </c>
      <c r="M12" s="113">
        <f>+L12/L16</f>
        <v>0.43448316115099517</v>
      </c>
      <c r="N12" s="107">
        <f>+riclassificazione!N11+riclassificazione!N12</f>
        <v>8027</v>
      </c>
      <c r="O12" s="113">
        <f>+N12/N16</f>
        <v>0.4125507529423858</v>
      </c>
      <c r="P12" s="107">
        <f>+riclassificazione!P11+riclassificazione!P12</f>
        <v>16952</v>
      </c>
      <c r="Q12" s="113">
        <f>+P12/P16</f>
        <v>0.6052124241342378</v>
      </c>
      <c r="R12" s="107">
        <f>+riclassificazione!R11+riclassificazione!R12</f>
        <v>17315</v>
      </c>
      <c r="S12" s="113">
        <f>+R12/R16</f>
        <v>0.6495479611359117</v>
      </c>
      <c r="T12" s="107">
        <f>+riclassificazione!T11+riclassificazione!T12</f>
        <v>16534</v>
      </c>
      <c r="U12" s="113">
        <f>+T12/T16</f>
        <v>0.9849288139631858</v>
      </c>
    </row>
    <row r="13" spans="1:21" ht="12.75">
      <c r="A13" s="106" t="s">
        <v>288</v>
      </c>
      <c r="B13" s="112">
        <f>+riclassificazione!B16+riclassificazione!B31-riclassificazione!B96</f>
        <v>-144</v>
      </c>
      <c r="C13" s="114">
        <f>+B13/B16</f>
        <v>-0.009272973147015261</v>
      </c>
      <c r="D13" s="112">
        <f>+riclassificazione!D16+riclassificazione!D31-riclassificazione!D96</f>
        <v>-185</v>
      </c>
      <c r="E13" s="114">
        <f>+D13/D16</f>
        <v>-0.013435003631082063</v>
      </c>
      <c r="F13" s="112">
        <f>+riclassificazione!F16+riclassificazione!F31-riclassificazione!F96</f>
        <v>-309</v>
      </c>
      <c r="G13" s="114">
        <f>+F13/F16</f>
        <v>-0.021566164154103853</v>
      </c>
      <c r="H13" s="112">
        <f>+riclassificazione!H16+riclassificazione!H31-riclassificazione!H96</f>
        <v>45</v>
      </c>
      <c r="I13" s="114">
        <f>+H13/H16</f>
        <v>0.0029243566415388614</v>
      </c>
      <c r="J13" s="112">
        <f>+riclassificazione!J16+riclassificazione!J31-riclassificazione!J96</f>
        <v>143</v>
      </c>
      <c r="K13" s="114">
        <f>+J13/J16</f>
        <v>0.008429615656684744</v>
      </c>
      <c r="L13" s="112">
        <f>+riclassificazione!L16+riclassificazione!L31-riclassificazione!L96</f>
        <v>198</v>
      </c>
      <c r="M13" s="114">
        <f>+L13/L16</f>
        <v>0.011556645070915776</v>
      </c>
      <c r="N13" s="112">
        <f>+riclassificazione!N16+riclassificazione!N31-riclassificazione!N96</f>
        <v>56</v>
      </c>
      <c r="O13" s="114">
        <f>+N13/N16</f>
        <v>0.0028781415428894485</v>
      </c>
      <c r="P13" s="112">
        <f>+riclassificazione!P16+riclassificazione!P31-riclassificazione!P96</f>
        <v>134</v>
      </c>
      <c r="Q13" s="114">
        <f>+P13/P16</f>
        <v>0.004784005712245626</v>
      </c>
      <c r="R13" s="112">
        <f>+riclassificazione!R16+riclassificazione!R31-riclassificazione!R96</f>
        <v>-69</v>
      </c>
      <c r="S13" s="114">
        <f>+R13/R16</f>
        <v>-0.0025884383088869713</v>
      </c>
      <c r="T13" s="112">
        <f>+riclassificazione!T16+riclassificazione!T31-riclassificazione!T96</f>
        <v>-423</v>
      </c>
      <c r="U13" s="114">
        <f>+T13/T16</f>
        <v>-0.025198069935068804</v>
      </c>
    </row>
    <row r="14" spans="1:21" ht="12.75">
      <c r="A14" s="97" t="s">
        <v>256</v>
      </c>
      <c r="B14" s="112">
        <f>-riclassificazione!B72-riclassificazione!B73</f>
        <v>0</v>
      </c>
      <c r="C14" s="113">
        <f>+B14/B16</f>
        <v>0</v>
      </c>
      <c r="D14" s="112">
        <f>-riclassificazione!D72-riclassificazione!D73</f>
        <v>0</v>
      </c>
      <c r="E14" s="113">
        <f>+D14/D16</f>
        <v>0</v>
      </c>
      <c r="F14" s="112">
        <f>-riclassificazione!F72-riclassificazione!F73</f>
        <v>0</v>
      </c>
      <c r="G14" s="113">
        <f>+F14/F16</f>
        <v>0</v>
      </c>
      <c r="H14" s="112">
        <f>-riclassificazione!H72-riclassificazione!H73</f>
        <v>0</v>
      </c>
      <c r="I14" s="113">
        <f>+H14/H16</f>
        <v>0</v>
      </c>
      <c r="J14" s="112">
        <f>-riclassificazione!J72-riclassificazione!J73</f>
        <v>-4</v>
      </c>
      <c r="K14" s="113">
        <f>+J14/J16</f>
        <v>-0.0002357934449422306</v>
      </c>
      <c r="L14" s="112">
        <f>-riclassificazione!L72-riclassificazione!L73</f>
        <v>0</v>
      </c>
      <c r="M14" s="113">
        <f>+L14/L16</f>
        <v>0</v>
      </c>
      <c r="N14" s="112">
        <f>-riclassificazione!N72-riclassificazione!N73</f>
        <v>0</v>
      </c>
      <c r="O14" s="113">
        <f>+N14/N16</f>
        <v>0</v>
      </c>
      <c r="P14" s="112">
        <f>-riclassificazione!P72-riclassificazione!P73</f>
        <v>-3</v>
      </c>
      <c r="Q14" s="113">
        <f>+P14/P16</f>
        <v>-0.00010710460549803642</v>
      </c>
      <c r="R14" s="112">
        <f>-riclassificazione!R72-riclassificazione!R73</f>
        <v>0</v>
      </c>
      <c r="S14" s="113">
        <f>+R14/R16</f>
        <v>0</v>
      </c>
      <c r="T14" s="112">
        <f>-riclassificazione!T72-riclassificazione!T73</f>
        <v>-4493</v>
      </c>
      <c r="U14" s="113">
        <f>+T14/T16</f>
        <v>-0.26764758444034076</v>
      </c>
    </row>
    <row r="15" spans="1:21" ht="12.75">
      <c r="A15" s="115" t="s">
        <v>287</v>
      </c>
      <c r="B15" s="116">
        <f>SUM(B10:B14)</f>
        <v>15472</v>
      </c>
      <c r="C15" s="111">
        <f>+B15/B16</f>
        <v>0.9963294481293065</v>
      </c>
      <c r="D15" s="116">
        <f>SUM(D10:D14)</f>
        <v>13406</v>
      </c>
      <c r="E15" s="111">
        <f>+D15/D16</f>
        <v>0.9735657225853305</v>
      </c>
      <c r="F15" s="116">
        <f>SUM(F10:F14)</f>
        <v>13639</v>
      </c>
      <c r="G15" s="111">
        <f>+F15/F16</f>
        <v>0.9519123394751535</v>
      </c>
      <c r="H15" s="116">
        <f>SUM(H10:H14)</f>
        <v>14731</v>
      </c>
      <c r="I15" s="111">
        <f>+H15/H16</f>
        <v>0.9573043930335327</v>
      </c>
      <c r="J15" s="116">
        <f>SUM(J10:J14)</f>
        <v>15248</v>
      </c>
      <c r="K15" s="111">
        <f>+J15/J16</f>
        <v>0.8988446121197831</v>
      </c>
      <c r="L15" s="116">
        <f>SUM(L10:L14)</f>
        <v>15746</v>
      </c>
      <c r="M15" s="111">
        <f>+L15/L16</f>
        <v>0.919045117609292</v>
      </c>
      <c r="N15" s="116">
        <f>SUM(N10:N14)</f>
        <v>17648</v>
      </c>
      <c r="O15" s="111">
        <f>+N15/N16</f>
        <v>0.9070257490877319</v>
      </c>
      <c r="P15" s="116">
        <f>SUM(P10:P14)</f>
        <v>25514</v>
      </c>
      <c r="Q15" s="111">
        <f>+P15/P16</f>
        <v>0.9108889682256337</v>
      </c>
      <c r="R15" s="116">
        <f>SUM(R10:R14)</f>
        <v>24539</v>
      </c>
      <c r="S15" s="111">
        <f>+R15/R16</f>
        <v>0.9205461979967738</v>
      </c>
      <c r="T15" s="116">
        <f>SUM(T10:T14)</f>
        <v>14322</v>
      </c>
      <c r="U15" s="111">
        <f>+T15/T16</f>
        <v>0.8531601834753083</v>
      </c>
    </row>
    <row r="16" spans="1:21" ht="13.5" thickBot="1">
      <c r="A16" s="117" t="s">
        <v>119</v>
      </c>
      <c r="B16" s="118">
        <f>+B9+B15</f>
        <v>15529</v>
      </c>
      <c r="C16" s="119">
        <f>+B16/B16</f>
        <v>1</v>
      </c>
      <c r="D16" s="118">
        <f>+D9+D15</f>
        <v>13770</v>
      </c>
      <c r="E16" s="119">
        <f>+D16/D16</f>
        <v>1</v>
      </c>
      <c r="F16" s="118">
        <f>+F9+F15</f>
        <v>14328</v>
      </c>
      <c r="G16" s="119">
        <f>+F16/F16</f>
        <v>1</v>
      </c>
      <c r="H16" s="118">
        <f>+H9+H15</f>
        <v>15388</v>
      </c>
      <c r="I16" s="119">
        <f>+H16/H16</f>
        <v>1</v>
      </c>
      <c r="J16" s="118">
        <f>+J9+J15</f>
        <v>16964</v>
      </c>
      <c r="K16" s="119">
        <f>+J16/J16</f>
        <v>1</v>
      </c>
      <c r="L16" s="118">
        <f>+L9+L15</f>
        <v>17133</v>
      </c>
      <c r="M16" s="119">
        <f>+L16/L16</f>
        <v>1</v>
      </c>
      <c r="N16" s="118">
        <f>+N9+N15</f>
        <v>19457</v>
      </c>
      <c r="O16" s="119">
        <f>+N16/N16</f>
        <v>1</v>
      </c>
      <c r="P16" s="118">
        <f>+P9+P15</f>
        <v>28010</v>
      </c>
      <c r="Q16" s="119">
        <f>+P16/P16</f>
        <v>1</v>
      </c>
      <c r="R16" s="118">
        <f>+R9+R15</f>
        <v>26657</v>
      </c>
      <c r="S16" s="119">
        <f>+R16/R16</f>
        <v>1</v>
      </c>
      <c r="T16" s="118">
        <f>+T9+T15</f>
        <v>16787</v>
      </c>
      <c r="U16" s="119">
        <f>+T16/T16</f>
        <v>1</v>
      </c>
    </row>
    <row r="17" spans="1:21" ht="13.5" thickTop="1">
      <c r="A17" s="106"/>
      <c r="B17" s="105"/>
      <c r="C17" s="76"/>
      <c r="D17" s="105"/>
      <c r="E17" s="76"/>
      <c r="F17" s="105"/>
      <c r="G17" s="76"/>
      <c r="H17" s="105"/>
      <c r="I17" s="81"/>
      <c r="J17" s="105"/>
      <c r="K17" s="81"/>
      <c r="L17" s="105"/>
      <c r="M17" s="81"/>
      <c r="N17" s="105"/>
      <c r="O17" s="81"/>
      <c r="P17" s="105"/>
      <c r="Q17" s="81"/>
      <c r="R17" s="105"/>
      <c r="S17" s="81"/>
      <c r="T17" s="105"/>
      <c r="U17" s="81"/>
    </row>
    <row r="18" spans="1:21" ht="12.75">
      <c r="A18" s="104" t="s">
        <v>120</v>
      </c>
      <c r="B18" s="120"/>
      <c r="C18" s="121"/>
      <c r="D18" s="120"/>
      <c r="E18" s="121"/>
      <c r="F18" s="120"/>
      <c r="G18" s="121"/>
      <c r="H18" s="120"/>
      <c r="I18" s="122"/>
      <c r="J18" s="120"/>
      <c r="K18" s="122"/>
      <c r="L18" s="120"/>
      <c r="M18" s="122"/>
      <c r="N18" s="120"/>
      <c r="O18" s="122"/>
      <c r="P18" s="120"/>
      <c r="Q18" s="122"/>
      <c r="R18" s="120"/>
      <c r="S18" s="122"/>
      <c r="T18" s="120"/>
      <c r="U18" s="122"/>
    </row>
    <row r="19" spans="1:21" ht="12.75">
      <c r="A19" s="106" t="s">
        <v>121</v>
      </c>
      <c r="B19" s="123">
        <f>+riclassificazione!B91</f>
        <v>4154</v>
      </c>
      <c r="C19" s="124">
        <f>+B19/B24</f>
        <v>0.26749951703264857</v>
      </c>
      <c r="D19" s="123">
        <f>+riclassificazione!D91</f>
        <v>3460</v>
      </c>
      <c r="E19" s="124">
        <f>+D19/D24</f>
        <v>0.2512708787218591</v>
      </c>
      <c r="F19" s="123">
        <f>+riclassificazione!F91</f>
        <v>3292</v>
      </c>
      <c r="G19" s="124">
        <f>+F19/F24</f>
        <v>0.22975991066443327</v>
      </c>
      <c r="H19" s="123">
        <f>+riclassificazione!H91</f>
        <v>4991</v>
      </c>
      <c r="I19" s="124">
        <f>+H19/H24</f>
        <v>0.3243436443982324</v>
      </c>
      <c r="J19" s="123">
        <f>+riclassificazione!J91</f>
        <v>4695</v>
      </c>
      <c r="K19" s="124">
        <f>+J19/J24</f>
        <v>0.2767625560009432</v>
      </c>
      <c r="L19" s="123">
        <f>+riclassificazione!L91</f>
        <v>6282</v>
      </c>
      <c r="M19" s="124">
        <f>+L19/L24</f>
        <v>0.3666608299772369</v>
      </c>
      <c r="N19" s="123">
        <f>+riclassificazione!N91</f>
        <v>7685</v>
      </c>
      <c r="O19" s="124">
        <f>+N19/N24</f>
        <v>0.39497353137688235</v>
      </c>
      <c r="P19" s="123">
        <f>+riclassificazione!P91</f>
        <v>8389</v>
      </c>
      <c r="Q19" s="124">
        <f>+P19/P24</f>
        <v>0.29950017850767585</v>
      </c>
      <c r="R19" s="123">
        <f>+riclassificazione!R91</f>
        <v>6440</v>
      </c>
      <c r="S19" s="124">
        <f>+R19/R24</f>
        <v>0.24158757549611734</v>
      </c>
      <c r="T19" s="123">
        <f>+riclassificazione!T91</f>
        <v>7136</v>
      </c>
      <c r="U19" s="124">
        <f>+T19/T24</f>
        <v>0.42509084410555786</v>
      </c>
    </row>
    <row r="20" spans="1:21" ht="12.75">
      <c r="A20" s="97" t="s">
        <v>122</v>
      </c>
      <c r="B20" s="125">
        <f>+riclassificazione!B84-riclassificazione!B82</f>
        <v>4032</v>
      </c>
      <c r="C20" s="126">
        <f>+B20/B24</f>
        <v>0.2596432481164273</v>
      </c>
      <c r="D20" s="125">
        <f>+riclassificazione!D84-riclassificazione!D82</f>
        <v>1541</v>
      </c>
      <c r="E20" s="126">
        <f>+D20/D24</f>
        <v>0.11190994916485113</v>
      </c>
      <c r="F20" s="125">
        <f>+riclassificazione!F84-riclassificazione!F82</f>
        <v>2350</v>
      </c>
      <c r="G20" s="126">
        <f>+F20/F24</f>
        <v>0.1640145170295924</v>
      </c>
      <c r="H20" s="125">
        <f>+riclassificazione!H84-riclassificazione!H82</f>
        <v>1807</v>
      </c>
      <c r="I20" s="126">
        <f>+H20/H24</f>
        <v>0.11742916558357161</v>
      </c>
      <c r="J20" s="125">
        <f>+riclassificazione!J84-riclassificazione!J82</f>
        <v>3605</v>
      </c>
      <c r="K20" s="126">
        <f>+J20/J24</f>
        <v>0.21250884225418534</v>
      </c>
      <c r="L20" s="125">
        <f>+riclassificazione!L84-riclassificazione!L82</f>
        <v>3057</v>
      </c>
      <c r="M20" s="126">
        <f>+L20/L24</f>
        <v>0.17842759586762388</v>
      </c>
      <c r="N20" s="125">
        <f>+riclassificazione!N84-riclassificazione!N82</f>
        <v>2908</v>
      </c>
      <c r="O20" s="126">
        <f>+N20/N24</f>
        <v>0.1494577786914735</v>
      </c>
      <c r="P20" s="125">
        <f>+riclassificazione!P84-riclassificazione!P82</f>
        <v>3073</v>
      </c>
      <c r="Q20" s="126">
        <f>+P20/P24</f>
        <v>0.1097108175651553</v>
      </c>
      <c r="R20" s="125">
        <f>+riclassificazione!R84-riclassificazione!R82</f>
        <v>4315</v>
      </c>
      <c r="S20" s="126">
        <f>+R20/R24</f>
        <v>0.16187117830213452</v>
      </c>
      <c r="T20" s="125">
        <f>+riclassificazione!T84-riclassificazione!T82</f>
        <v>4065</v>
      </c>
      <c r="U20" s="126">
        <f>+T20/T24</f>
        <v>0.24215166497885268</v>
      </c>
    </row>
    <row r="21" spans="1:21" ht="12.75">
      <c r="A21" s="127" t="s">
        <v>123</v>
      </c>
      <c r="B21" s="123">
        <f>SUM(B19:B20)</f>
        <v>8186</v>
      </c>
      <c r="C21" s="124">
        <f>+B21/B24</f>
        <v>0.5271427651490759</v>
      </c>
      <c r="D21" s="123">
        <f>SUM(D19:D20)</f>
        <v>5001</v>
      </c>
      <c r="E21" s="124">
        <f>+D21/D24</f>
        <v>0.36318082788671024</v>
      </c>
      <c r="F21" s="123">
        <f>SUM(F19:F20)</f>
        <v>5642</v>
      </c>
      <c r="G21" s="124">
        <f>+F21/F24</f>
        <v>0.3937744276940257</v>
      </c>
      <c r="H21" s="123">
        <f>SUM(H19:H20)</f>
        <v>6798</v>
      </c>
      <c r="I21" s="124">
        <f>+H21/H24</f>
        <v>0.441772809981804</v>
      </c>
      <c r="J21" s="123">
        <f>SUM(J19:J20)</f>
        <v>8300</v>
      </c>
      <c r="K21" s="124">
        <f>+J21/J24</f>
        <v>0.4892713982551285</v>
      </c>
      <c r="L21" s="123">
        <f>SUM(L19:L20)</f>
        <v>9339</v>
      </c>
      <c r="M21" s="124">
        <f>+L21/L24</f>
        <v>0.5450884258448608</v>
      </c>
      <c r="N21" s="123">
        <f>SUM(N19:N20)</f>
        <v>10593</v>
      </c>
      <c r="O21" s="124">
        <f>+N21/N24</f>
        <v>0.5444313100683559</v>
      </c>
      <c r="P21" s="123">
        <f>SUM(P19:P20)</f>
        <v>11462</v>
      </c>
      <c r="Q21" s="124">
        <f>+P21/P24</f>
        <v>0.4092109960728311</v>
      </c>
      <c r="R21" s="123">
        <f>SUM(R19:R20)</f>
        <v>10755</v>
      </c>
      <c r="S21" s="124">
        <f>+R21/R24</f>
        <v>0.40345875379825186</v>
      </c>
      <c r="T21" s="123">
        <f>SUM(T19:T20)</f>
        <v>11201</v>
      </c>
      <c r="U21" s="124">
        <f>+T21/T24</f>
        <v>0.6672425090844105</v>
      </c>
    </row>
    <row r="22" spans="1:21" ht="12.75">
      <c r="A22" s="106" t="s">
        <v>40</v>
      </c>
      <c r="B22" s="112">
        <f>riclassificazione!B74</f>
        <v>1567</v>
      </c>
      <c r="C22" s="124">
        <f>+B22/B24</f>
        <v>0.10090797862064524</v>
      </c>
      <c r="D22" s="112">
        <f>riclassificazione!D74</f>
        <v>1526</v>
      </c>
      <c r="E22" s="124">
        <f>+D22/D24</f>
        <v>0.11082062454611474</v>
      </c>
      <c r="F22" s="112">
        <f>riclassificazione!F74</f>
        <v>1545</v>
      </c>
      <c r="G22" s="124">
        <f>+F22/F24</f>
        <v>0.10783082077051927</v>
      </c>
      <c r="H22" s="112">
        <f>riclassificazione!H74</f>
        <v>1640</v>
      </c>
      <c r="I22" s="124">
        <f>+H22/H24</f>
        <v>0.10657655315830518</v>
      </c>
      <c r="J22" s="112">
        <f>riclassificazione!J74</f>
        <v>1767</v>
      </c>
      <c r="K22" s="124">
        <f>+J22/J24</f>
        <v>0.10416175430323037</v>
      </c>
      <c r="L22" s="112">
        <f>riclassificazione!L74</f>
        <v>1869</v>
      </c>
      <c r="M22" s="124">
        <f>+L22/L24</f>
        <v>0.10908772544212922</v>
      </c>
      <c r="N22" s="112">
        <f>riclassificazione!N74</f>
        <v>1918</v>
      </c>
      <c r="O22" s="124">
        <f>+N22/N24</f>
        <v>0.09857634784396362</v>
      </c>
      <c r="P22" s="112">
        <f>riclassificazione!P74</f>
        <v>1869</v>
      </c>
      <c r="Q22" s="124">
        <f>+P22/P24</f>
        <v>0.06672616922527669</v>
      </c>
      <c r="R22" s="112">
        <f>riclassificazione!R74</f>
        <v>1987</v>
      </c>
      <c r="S22" s="124">
        <f>+R22/R24</f>
        <v>0.07453952057620887</v>
      </c>
      <c r="T22" s="112">
        <f>riclassificazione!T74</f>
        <v>1915</v>
      </c>
      <c r="U22" s="124">
        <f>+T22/T24</f>
        <v>0.1140763686185739</v>
      </c>
    </row>
    <row r="23" spans="1:21" ht="12.75">
      <c r="A23" s="127" t="s">
        <v>124</v>
      </c>
      <c r="B23" s="123">
        <f>+riclassificazione!B70</f>
        <v>5776</v>
      </c>
      <c r="C23" s="124">
        <f>+B23/B24</f>
        <v>0.37194925623027886</v>
      </c>
      <c r="D23" s="123">
        <f>+riclassificazione!D70</f>
        <v>7243</v>
      </c>
      <c r="E23" s="124">
        <f>+D23/D24</f>
        <v>0.525998547567175</v>
      </c>
      <c r="F23" s="123">
        <f>+riclassificazione!F70</f>
        <v>7141</v>
      </c>
      <c r="G23" s="124">
        <f>+F23/F24</f>
        <v>0.49839475153545504</v>
      </c>
      <c r="H23" s="123">
        <f>+riclassificazione!H70</f>
        <v>6950</v>
      </c>
      <c r="I23" s="124">
        <f>+H23/H24</f>
        <v>0.4516506368598908</v>
      </c>
      <c r="J23" s="123">
        <f>+riclassificazione!J70</f>
        <v>6897</v>
      </c>
      <c r="K23" s="124">
        <f>+J23/J24</f>
        <v>0.4065668474416411</v>
      </c>
      <c r="L23" s="123">
        <f>+riclassificazione!L70</f>
        <v>5925</v>
      </c>
      <c r="M23" s="124">
        <f>+L23/L24</f>
        <v>0.34582384871301</v>
      </c>
      <c r="N23" s="123">
        <f>+riclassificazione!N70</f>
        <v>6946</v>
      </c>
      <c r="O23" s="124">
        <f>+N23/N24</f>
        <v>0.35699234208768055</v>
      </c>
      <c r="P23" s="123">
        <f>+riclassificazione!P70</f>
        <v>14679</v>
      </c>
      <c r="Q23" s="124">
        <f>+P23/P24</f>
        <v>0.5240628347018922</v>
      </c>
      <c r="R23" s="123">
        <f>+riclassificazione!R70</f>
        <v>13915</v>
      </c>
      <c r="S23" s="124">
        <f>+R23/R24</f>
        <v>0.5220017256255393</v>
      </c>
      <c r="T23" s="123">
        <f>+riclassificazione!T70</f>
        <v>3671</v>
      </c>
      <c r="U23" s="124">
        <f>+T23/T24</f>
        <v>0.21868112229701556</v>
      </c>
    </row>
    <row r="24" spans="1:21" ht="13.5" thickBot="1">
      <c r="A24" s="117" t="s">
        <v>125</v>
      </c>
      <c r="B24" s="128">
        <f>+B23+B21+B22</f>
        <v>15529</v>
      </c>
      <c r="C24" s="119">
        <f>+B24/B24</f>
        <v>1</v>
      </c>
      <c r="D24" s="128">
        <f>+D23+D21+D22</f>
        <v>13770</v>
      </c>
      <c r="E24" s="119">
        <f>+D24/D24</f>
        <v>1</v>
      </c>
      <c r="F24" s="128">
        <f>+F23+F21+F22</f>
        <v>14328</v>
      </c>
      <c r="G24" s="119">
        <f>+F24/F24</f>
        <v>1</v>
      </c>
      <c r="H24" s="128">
        <f>+H23+H21+H22</f>
        <v>15388</v>
      </c>
      <c r="I24" s="119">
        <f>+H24/H24</f>
        <v>1</v>
      </c>
      <c r="J24" s="128">
        <f>+J23+J21+J22</f>
        <v>16964</v>
      </c>
      <c r="K24" s="119">
        <f>+J24/J24</f>
        <v>1</v>
      </c>
      <c r="L24" s="128">
        <f>+L23+L21+L22</f>
        <v>17133</v>
      </c>
      <c r="M24" s="119">
        <f>+L24/L24</f>
        <v>1</v>
      </c>
      <c r="N24" s="128">
        <f>+N23+N21+N22</f>
        <v>19457</v>
      </c>
      <c r="O24" s="119">
        <f>+N24/N24</f>
        <v>1</v>
      </c>
      <c r="P24" s="128">
        <f>+P23+P21+P22</f>
        <v>28010</v>
      </c>
      <c r="Q24" s="119">
        <f>+P24/P24</f>
        <v>1</v>
      </c>
      <c r="R24" s="128">
        <f>+R23+R21+R22</f>
        <v>26657</v>
      </c>
      <c r="S24" s="119">
        <f>+R24/R24</f>
        <v>1</v>
      </c>
      <c r="T24" s="128">
        <f>+T23+T21+T22</f>
        <v>16787</v>
      </c>
      <c r="U24" s="119">
        <f>+T24/T24</f>
        <v>1</v>
      </c>
    </row>
    <row r="25" spans="1:21" ht="13.5" thickTop="1">
      <c r="A25" s="129"/>
      <c r="B25" s="105"/>
      <c r="C25" s="76"/>
      <c r="D25" s="105"/>
      <c r="E25" s="76"/>
      <c r="F25" s="105"/>
      <c r="G25" s="76"/>
      <c r="H25" s="105"/>
      <c r="I25" s="81"/>
      <c r="J25" s="105"/>
      <c r="K25" s="81"/>
      <c r="L25" s="105"/>
      <c r="M25" s="81"/>
      <c r="N25" s="105"/>
      <c r="O25" s="81"/>
      <c r="P25" s="105"/>
      <c r="Q25" s="81"/>
      <c r="R25" s="105"/>
      <c r="S25" s="81"/>
      <c r="T25" s="105"/>
      <c r="U25" s="81"/>
    </row>
    <row r="26" spans="1:21" ht="12.75">
      <c r="A26" s="130" t="s">
        <v>126</v>
      </c>
      <c r="B26" s="131"/>
      <c r="C26" s="81"/>
      <c r="D26" s="131"/>
      <c r="E26" s="81"/>
      <c r="F26" s="131"/>
      <c r="G26" s="81"/>
      <c r="H26" s="131"/>
      <c r="I26" s="81"/>
      <c r="J26" s="131"/>
      <c r="K26" s="81"/>
      <c r="L26" s="131"/>
      <c r="M26" s="81"/>
      <c r="N26" s="131"/>
      <c r="O26" s="81"/>
      <c r="P26" s="131"/>
      <c r="Q26" s="81"/>
      <c r="R26" s="131"/>
      <c r="S26" s="81"/>
      <c r="T26" s="131"/>
      <c r="U26" s="81"/>
    </row>
    <row r="27" spans="1:21" ht="12.75">
      <c r="A27" s="106" t="s">
        <v>127</v>
      </c>
      <c r="B27" s="131"/>
      <c r="C27" s="81"/>
      <c r="D27" s="131"/>
      <c r="E27" s="81"/>
      <c r="F27" s="131"/>
      <c r="G27" s="81"/>
      <c r="H27" s="131"/>
      <c r="I27" s="81"/>
      <c r="J27" s="131"/>
      <c r="K27" s="81"/>
      <c r="L27" s="131"/>
      <c r="M27" s="81"/>
      <c r="N27" s="131"/>
      <c r="O27" s="81"/>
      <c r="P27" s="131"/>
      <c r="Q27" s="81"/>
      <c r="R27" s="131"/>
      <c r="S27" s="81"/>
      <c r="T27" s="131"/>
      <c r="U27" s="81"/>
    </row>
    <row r="28" spans="1:21" ht="12.75">
      <c r="A28" s="127" t="s">
        <v>128</v>
      </c>
      <c r="B28" s="132">
        <f>+(+riclassificazione!B39-riclassificazione!B27)/+riclassificazione!B100</f>
        <v>1.1504922644163151</v>
      </c>
      <c r="C28" s="133"/>
      <c r="D28" s="132">
        <f>+(+riclassificazione!D39-riclassificazione!D27)/+riclassificazione!D100</f>
        <v>0.6553371302590483</v>
      </c>
      <c r="E28" s="133"/>
      <c r="F28" s="132">
        <f>+(+riclassificazione!F39-riclassificazione!F27)/+riclassificazione!F100</f>
        <v>0.7350347157065116</v>
      </c>
      <c r="G28" s="133"/>
      <c r="H28" s="132">
        <f>+(+riclassificazione!H39-riclassificazione!H27)/+riclassificazione!H100</f>
        <v>0.5094740033348492</v>
      </c>
      <c r="I28" s="81"/>
      <c r="J28" s="132">
        <f>+(+riclassificazione!J39-riclassificazione!J27)/+riclassificazione!J100</f>
        <v>0.5909543450433793</v>
      </c>
      <c r="K28" s="81"/>
      <c r="L28" s="132">
        <f>+(+riclassificazione!L39-riclassificazione!L27)/+riclassificazione!L100</f>
        <v>0.39246861924686194</v>
      </c>
      <c r="M28" s="81"/>
      <c r="N28" s="132">
        <f>+(+riclassificazione!N39-riclassificazione!N27)/+riclassificazione!N100</f>
        <v>0.45061099796334014</v>
      </c>
      <c r="O28" s="81"/>
      <c r="P28" s="132">
        <f>+(+riclassificazione!P39-riclassificazione!P27)/+riclassificazione!P100</f>
        <v>0.34447812085622276</v>
      </c>
      <c r="Q28" s="81"/>
      <c r="R28" s="132">
        <f>+(+riclassificazione!R39-riclassificazione!R27)/+riclassificazione!R100</f>
        <v>0.3350491878288721</v>
      </c>
      <c r="S28" s="81"/>
      <c r="T28" s="132">
        <f>+(+riclassificazione!T39-riclassificazione!T27)/+riclassificazione!T100</f>
        <v>0.4189189189189189</v>
      </c>
      <c r="U28" s="81"/>
    </row>
    <row r="29" spans="1:21" ht="12.75">
      <c r="A29" s="134" t="s">
        <v>129</v>
      </c>
      <c r="B29" s="131"/>
      <c r="C29" s="81"/>
      <c r="D29" s="131"/>
      <c r="E29" s="81"/>
      <c r="F29" s="131"/>
      <c r="G29" s="81"/>
      <c r="H29" s="131"/>
      <c r="I29" s="81"/>
      <c r="J29" s="131"/>
      <c r="K29" s="81"/>
      <c r="L29" s="131"/>
      <c r="M29" s="81"/>
      <c r="N29" s="131"/>
      <c r="O29" s="81"/>
      <c r="P29" s="131"/>
      <c r="Q29" s="81"/>
      <c r="R29" s="131"/>
      <c r="S29" s="81"/>
      <c r="T29" s="131"/>
      <c r="U29" s="81"/>
    </row>
    <row r="30" spans="1:21" ht="12.75">
      <c r="A30" s="127" t="s">
        <v>130</v>
      </c>
      <c r="B30" s="132">
        <f>+riclassificazione!B39/+riclassificazione!B100</f>
        <v>1.8166901078293483</v>
      </c>
      <c r="C30" s="133"/>
      <c r="D30" s="132">
        <f>+riclassificazione!D39/+riclassificazione!D100</f>
        <v>1.5030314164982546</v>
      </c>
      <c r="E30" s="133"/>
      <c r="F30" s="132">
        <f>+riclassificazione!F39/+riclassificazione!F100</f>
        <v>1.6751735785325577</v>
      </c>
      <c r="G30" s="133"/>
      <c r="H30" s="132">
        <f>+riclassificazione!H39/+riclassificazione!H100</f>
        <v>1.3318174927997575</v>
      </c>
      <c r="I30" s="81"/>
      <c r="J30" s="132">
        <f>+riclassificazione!J39/+riclassificazione!J100</f>
        <v>1.3952496088749822</v>
      </c>
      <c r="K30" s="81"/>
      <c r="L30" s="132">
        <f>+riclassificazione!L39/+riclassificazione!L100</f>
        <v>1.2089659294680215</v>
      </c>
      <c r="M30" s="81"/>
      <c r="N30" s="132">
        <f>+riclassificazione!N39/+riclassificazione!N100</f>
        <v>1.1861507128309572</v>
      </c>
      <c r="O30" s="81"/>
      <c r="P30" s="132">
        <f>+riclassificazione!P39/+riclassificazione!P100</f>
        <v>1.0181852623602956</v>
      </c>
      <c r="Q30" s="81"/>
      <c r="R30" s="132">
        <f>+riclassificazione!R39/+riclassificazione!R100</f>
        <v>1.1758178906428736</v>
      </c>
      <c r="S30" s="81"/>
      <c r="T30" s="132">
        <f>+riclassificazione!T39/+riclassificazione!T100</f>
        <v>0.7999051683262209</v>
      </c>
      <c r="U30" s="81"/>
    </row>
    <row r="31" spans="1:21" ht="12.75">
      <c r="A31" s="127"/>
      <c r="B31" s="131"/>
      <c r="C31" s="81"/>
      <c r="D31" s="131"/>
      <c r="E31" s="81"/>
      <c r="F31" s="131"/>
      <c r="G31" s="81"/>
      <c r="H31" s="131"/>
      <c r="I31" s="81"/>
      <c r="J31" s="131"/>
      <c r="K31" s="81"/>
      <c r="L31" s="131"/>
      <c r="M31" s="81"/>
      <c r="N31" s="131"/>
      <c r="O31" s="81"/>
      <c r="P31" s="131"/>
      <c r="Q31" s="81"/>
      <c r="R31" s="131"/>
      <c r="S31" s="81"/>
      <c r="T31" s="131"/>
      <c r="U31" s="81"/>
    </row>
    <row r="32" spans="1:21" ht="12.75">
      <c r="A32" s="130" t="s">
        <v>131</v>
      </c>
      <c r="B32" s="131"/>
      <c r="C32" s="81"/>
      <c r="D32" s="131"/>
      <c r="E32" s="81"/>
      <c r="F32" s="131"/>
      <c r="G32" s="81"/>
      <c r="H32" s="131"/>
      <c r="I32" s="81"/>
      <c r="J32" s="131"/>
      <c r="K32" s="81"/>
      <c r="L32" s="131"/>
      <c r="M32" s="81"/>
      <c r="N32" s="131"/>
      <c r="O32" s="81"/>
      <c r="P32" s="131"/>
      <c r="Q32" s="81"/>
      <c r="R32" s="131"/>
      <c r="S32" s="81"/>
      <c r="T32" s="131"/>
      <c r="U32" s="81"/>
    </row>
    <row r="33" spans="1:21" ht="12.75">
      <c r="A33" s="134" t="s">
        <v>132</v>
      </c>
      <c r="B33" s="132">
        <f>+riclassificazione!B70/+(+riclassificazione!B11+riclassificazione!B12)</f>
        <v>0.99039780521262</v>
      </c>
      <c r="C33" s="133"/>
      <c r="D33" s="132">
        <f>+riclassificazione!D70/+(+riclassificazione!D11+riclassificazione!D12)</f>
        <v>1.1663446054750402</v>
      </c>
      <c r="E33" s="133"/>
      <c r="F33" s="132">
        <f>+riclassificazione!F70/+(+riclassificazione!F11+riclassificazione!F12)</f>
        <v>1.0438532378307266</v>
      </c>
      <c r="G33" s="133"/>
      <c r="H33" s="132">
        <f>+riclassificazione!H70/+(+riclassificazione!H11+riclassificazione!H12)</f>
        <v>0.9399513118744929</v>
      </c>
      <c r="I33" s="81"/>
      <c r="J33" s="132">
        <f>+riclassificazione!J70/+(+riclassificazione!J11+riclassificazione!J12)</f>
        <v>0.8899354838709678</v>
      </c>
      <c r="K33" s="81"/>
      <c r="L33" s="132">
        <f>+riclassificazione!L70/+(+riclassificazione!L11+riclassificazione!L12)</f>
        <v>0.7959430413756046</v>
      </c>
      <c r="M33" s="81"/>
      <c r="N33" s="132">
        <f>+riclassificazione!N70/+(+riclassificazione!N11+riclassificazione!N12)</f>
        <v>0.8653295128939829</v>
      </c>
      <c r="O33" s="81"/>
      <c r="P33" s="132">
        <f>+riclassificazione!P70/+(+riclassificazione!P11+riclassificazione!P12)</f>
        <v>0.8659155261915998</v>
      </c>
      <c r="Q33" s="81"/>
      <c r="R33" s="132">
        <f>+riclassificazione!R70/+(+riclassificazione!R11+riclassificazione!R12)</f>
        <v>0.8036384637597459</v>
      </c>
      <c r="S33" s="81"/>
      <c r="T33" s="132">
        <f>+riclassificazione!T70/+(+riclassificazione!T11+riclassificazione!T12)</f>
        <v>0.22202733760735455</v>
      </c>
      <c r="U33" s="81"/>
    </row>
    <row r="34" spans="1:21" ht="12.75">
      <c r="A34" s="134" t="s">
        <v>133</v>
      </c>
      <c r="B34" s="132">
        <f>+riclassificazione!B86/+riclassificazione!B21</f>
        <v>1.847138920408494</v>
      </c>
      <c r="C34" s="133"/>
      <c r="D34" s="132">
        <f>+riclassificazione!D86/+riclassificazione!D21</f>
        <v>1.3606427818756586</v>
      </c>
      <c r="E34" s="133"/>
      <c r="F34" s="132">
        <f>+riclassificazione!F86/+riclassificazione!F21</f>
        <v>1.4824349691606329</v>
      </c>
      <c r="G34" s="133"/>
      <c r="H34" s="132">
        <f>+riclassificazione!H86/+riclassificazione!H21</f>
        <v>1.2660427807486632</v>
      </c>
      <c r="I34" s="81"/>
      <c r="J34" s="132">
        <f>+riclassificazione!J86/+riclassificazione!J21</f>
        <v>1.2927111860122182</v>
      </c>
      <c r="K34" s="81"/>
      <c r="L34" s="132">
        <f>+riclassificazione!L86/+riclassificazione!L21</f>
        <v>1.1920246072723277</v>
      </c>
      <c r="M34" s="81"/>
      <c r="N34" s="132">
        <f>+riclassificazione!N86/+riclassificazione!N21</f>
        <v>1.1838294448913917</v>
      </c>
      <c r="O34" s="81"/>
      <c r="P34" s="132">
        <f>+riclassificazione!P86/+riclassificazione!P21</f>
        <v>1.0098806093042405</v>
      </c>
      <c r="Q34" s="81"/>
      <c r="R34" s="132">
        <f>+riclassificazione!R86/+riclassificazione!R21</f>
        <v>1.0791859866048428</v>
      </c>
      <c r="S34" s="81"/>
      <c r="T34" s="132">
        <f>+riclassificazione!T86/+riclassificazione!T21</f>
        <v>0.8481650275845527</v>
      </c>
      <c r="U34" s="81"/>
    </row>
    <row r="35" spans="1:21" ht="12.75">
      <c r="A35" s="106"/>
      <c r="B35" s="131"/>
      <c r="C35" s="81"/>
      <c r="D35" s="131"/>
      <c r="E35" s="81"/>
      <c r="F35" s="131"/>
      <c r="G35" s="81"/>
      <c r="H35" s="131"/>
      <c r="I35" s="81"/>
      <c r="J35" s="131"/>
      <c r="K35" s="81"/>
      <c r="L35" s="131"/>
      <c r="M35" s="81"/>
      <c r="N35" s="131"/>
      <c r="O35" s="81"/>
      <c r="P35" s="131"/>
      <c r="Q35" s="81"/>
      <c r="R35" s="131"/>
      <c r="S35" s="81"/>
      <c r="T35" s="131"/>
      <c r="U35" s="81"/>
    </row>
    <row r="36" spans="1:21" ht="12.75">
      <c r="A36" s="130" t="s">
        <v>134</v>
      </c>
      <c r="B36" s="131"/>
      <c r="C36" s="81"/>
      <c r="D36" s="131"/>
      <c r="E36" s="81"/>
      <c r="F36" s="131"/>
      <c r="G36" s="81"/>
      <c r="H36" s="131"/>
      <c r="I36" s="81"/>
      <c r="J36" s="131"/>
      <c r="K36" s="81"/>
      <c r="L36" s="131"/>
      <c r="M36" s="81"/>
      <c r="N36" s="131"/>
      <c r="O36" s="81"/>
      <c r="P36" s="131"/>
      <c r="Q36" s="81"/>
      <c r="R36" s="131"/>
      <c r="S36" s="81"/>
      <c r="T36" s="131"/>
      <c r="U36" s="81"/>
    </row>
    <row r="37" spans="1:21" ht="12.75">
      <c r="A37" s="106" t="s">
        <v>135</v>
      </c>
      <c r="B37" s="135">
        <f>(+riclassificazione!B29)*365/+riclassificazione!B111</f>
        <v>336.657196969697</v>
      </c>
      <c r="C37" s="136"/>
      <c r="D37" s="135">
        <f>(+riclassificazione!D29)*365/+riclassificazione!D111</f>
        <v>139.74004051316678</v>
      </c>
      <c r="E37" s="136"/>
      <c r="F37" s="135">
        <f>(+riclassificazione!F29)*365/+riclassificazione!F111</f>
        <v>139.26675514266756</v>
      </c>
      <c r="G37" s="136"/>
      <c r="H37" s="135">
        <f>(+riclassificazione!H29)*365/+riclassificazione!H111</f>
        <v>119.9477886977887</v>
      </c>
      <c r="I37" s="81"/>
      <c r="J37" s="135">
        <f>(+riclassificazione!J29)*365/+riclassificazione!J111</f>
        <v>143.82608695652175</v>
      </c>
      <c r="K37" s="81"/>
      <c r="L37" s="135">
        <f>(+riclassificazione!L29)*365/+riclassificazione!L111</f>
        <v>104.93655086332431</v>
      </c>
      <c r="M37" s="81"/>
      <c r="N37" s="135">
        <f>(+riclassificazione!N29)*365/+riclassificazione!N111</f>
        <v>130.90305322387235</v>
      </c>
      <c r="O37" s="81"/>
      <c r="P37" s="135">
        <f>(+riclassificazione!P29)*365/+riclassificazione!P111</f>
        <v>107.0284379039475</v>
      </c>
      <c r="Q37" s="81"/>
      <c r="R37" s="135">
        <f>(+riclassificazione!R29)*365/+riclassificazione!R111</f>
        <v>148.19900656946</v>
      </c>
      <c r="S37" s="81"/>
      <c r="T37" s="135">
        <f>(+riclassificazione!T29)*365/+riclassificazione!T111</f>
        <v>182.73097089133972</v>
      </c>
      <c r="U37" s="81"/>
    </row>
    <row r="38" spans="1:21" ht="12.75">
      <c r="A38" s="106" t="s">
        <v>136</v>
      </c>
      <c r="B38" s="135">
        <f>+riclassificazione!B92*365/+(-riclassificazione!B117-riclassificazione!B119)</f>
        <v>132.43873517786562</v>
      </c>
      <c r="C38" s="136"/>
      <c r="D38" s="135">
        <f>+riclassificazione!D92*365/+(-riclassificazione!D117-riclassificazione!D119)</f>
        <v>120.20173215040136</v>
      </c>
      <c r="E38" s="136"/>
      <c r="F38" s="135">
        <f>+riclassificazione!F92*365/+(-riclassificazione!F117-riclassificazione!F119)</f>
        <v>107.86260309796822</v>
      </c>
      <c r="G38" s="136"/>
      <c r="H38" s="135">
        <f>+riclassificazione!H92*365/+(-riclassificazione!H117-riclassificazione!H119)</f>
        <v>77.30996309963099</v>
      </c>
      <c r="I38" s="81"/>
      <c r="J38" s="135">
        <f>+riclassificazione!J92*365/+(-riclassificazione!J117-riclassificazione!J119)</f>
        <v>115.7871695571645</v>
      </c>
      <c r="K38" s="81"/>
      <c r="L38" s="135">
        <f>+riclassificazione!L92*365/+(-riclassificazione!L117-riclassificazione!L119)</f>
        <v>77.75511525511526</v>
      </c>
      <c r="M38" s="81"/>
      <c r="N38" s="135">
        <f>+riclassificazione!N92*365/+(-riclassificazione!N117-riclassificazione!N119)</f>
        <v>76.081541688516</v>
      </c>
      <c r="O38" s="81"/>
      <c r="P38" s="135">
        <f>+riclassificazione!P92*365/+(-riclassificazione!P117-riclassificazione!P119)</f>
        <v>84.07214254671882</v>
      </c>
      <c r="Q38" s="81"/>
      <c r="R38" s="135">
        <f>+riclassificazione!R92*365/+(-riclassificazione!R117-riclassificazione!R119)</f>
        <v>175.80057276750847</v>
      </c>
      <c r="S38" s="81"/>
      <c r="T38" s="135">
        <f>+riclassificazione!T92*365/+(-riclassificazione!T117-riclassificazione!T119)</f>
        <v>247.95624640184226</v>
      </c>
      <c r="U38" s="81"/>
    </row>
    <row r="39" spans="1:21" ht="12.75">
      <c r="A39" s="106" t="s">
        <v>137</v>
      </c>
      <c r="B39" s="131"/>
      <c r="C39" s="81"/>
      <c r="D39" s="131"/>
      <c r="E39" s="81"/>
      <c r="F39" s="131"/>
      <c r="G39" s="81"/>
      <c r="H39" s="131"/>
      <c r="I39" s="81"/>
      <c r="J39" s="131"/>
      <c r="K39" s="81"/>
      <c r="L39" s="131"/>
      <c r="M39" s="81"/>
      <c r="N39" s="131"/>
      <c r="O39" s="81"/>
      <c r="P39" s="131"/>
      <c r="Q39" s="81"/>
      <c r="R39" s="131"/>
      <c r="S39" s="81"/>
      <c r="T39" s="131"/>
      <c r="U39" s="81"/>
    </row>
    <row r="40" spans="1:21" ht="12.75">
      <c r="A40" s="106" t="s">
        <v>138</v>
      </c>
      <c r="B40" s="132">
        <f>+riclassificazione!B111/+riclassificazione!B41</f>
        <v>0.4154209284028324</v>
      </c>
      <c r="C40" s="133"/>
      <c r="D40" s="132">
        <f>+riclassificazione!D111/+((+riclassificazione!B41+riclassificazione!D41)/2)</f>
        <v>0.4412071379628802</v>
      </c>
      <c r="E40" s="133"/>
      <c r="F40" s="132">
        <f>+riclassificazione!F111/+((+riclassificazione!D41+riclassificazione!F41)/2)</f>
        <v>0.46862367062628274</v>
      </c>
      <c r="G40" s="133"/>
      <c r="H40" s="132">
        <f>+riclassificazione!H111/+((+riclassificazione!F41+riclassificazione!H41)/2)</f>
        <v>0.48743974370490134</v>
      </c>
      <c r="I40" s="81"/>
      <c r="J40" s="132">
        <f>+riclassificazione!J111/+((+riclassificazione!H41+riclassificazione!J41)/2)</f>
        <v>0.46230519301723666</v>
      </c>
      <c r="K40" s="81"/>
      <c r="L40" s="132">
        <f>+riclassificazione!L111/+((+riclassificazione!J41+riclassificazione!L41)/2)</f>
        <v>0.4991692627206646</v>
      </c>
      <c r="M40" s="81"/>
      <c r="N40" s="132">
        <f>+riclassificazione!N111/+((+riclassificazione!L41+riclassificazione!N41)/2)</f>
        <v>0.5313173887473045</v>
      </c>
      <c r="O40" s="81"/>
      <c r="P40" s="132">
        <f>+riclassificazione!P111/+((+riclassificazione!N41+riclassificazione!P41)/2)</f>
        <v>0.38849615637192414</v>
      </c>
      <c r="Q40" s="81"/>
      <c r="R40" s="132">
        <f>+riclassificazione!R111/+((+riclassificazione!P41+riclassificazione!R41)/2)</f>
        <v>0.20848156870605133</v>
      </c>
      <c r="S40" s="81"/>
      <c r="T40" s="132">
        <f>+riclassificazione!T111/+((+riclassificazione!R41+riclassificazione!T41)/2)</f>
        <v>0.19583266946377043</v>
      </c>
      <c r="U40" s="81"/>
    </row>
    <row r="41" spans="1:21" ht="12.75">
      <c r="A41" s="106" t="s">
        <v>139</v>
      </c>
      <c r="B41" s="132">
        <f>+riclassificazione!B111/+riclassificazione!B21</f>
        <v>1.1982493110714865</v>
      </c>
      <c r="C41" s="133"/>
      <c r="D41" s="132">
        <f>+riclassificazione!D111/+((+riclassificazione!B21+riclassificazione!D21)/2)</f>
        <v>1.0762299251507885</v>
      </c>
      <c r="E41" s="133"/>
      <c r="F41" s="132">
        <f>+riclassificazione!F111/+((+riclassificazione!D21+riclassificazione!F21)/2)</f>
        <v>1.001328903654485</v>
      </c>
      <c r="G41" s="133"/>
      <c r="H41" s="132">
        <f>+riclassificazione!H111/+((+riclassificazione!F21+riclassificazione!H21)/2)</f>
        <v>1.0378681626928472</v>
      </c>
      <c r="I41" s="81"/>
      <c r="J41" s="132">
        <f>+riclassificazione!J111/+((+riclassificazione!H21+riclassificazione!J21)/2)</f>
        <v>0.9474099988714592</v>
      </c>
      <c r="K41" s="81"/>
      <c r="L41" s="132">
        <f>+riclassificazione!L111/+((+riclassificazione!J21+riclassificazione!L21)/2)</f>
        <v>1.0339302037963112</v>
      </c>
      <c r="M41" s="81"/>
      <c r="N41" s="132">
        <f>+riclassificazione!N111/+((+riclassificazione!L21+riclassificazione!N21)/2)</f>
        <v>1.1383419961148737</v>
      </c>
      <c r="O41" s="81"/>
      <c r="P41" s="132">
        <f>+riclassificazione!P111/+((+riclassificazione!N21+riclassificazione!P21)/2)</f>
        <v>0.684708605664488</v>
      </c>
      <c r="Q41" s="81"/>
      <c r="R41" s="132">
        <f>+riclassificazione!R111/+((+riclassificazione!P21+riclassificazione!R21)/2)</f>
        <v>0.3213531743988466</v>
      </c>
      <c r="S41" s="81"/>
      <c r="T41" s="132">
        <f>+riclassificazione!T111/+((+riclassificazione!R21+riclassificazione!T21)/2)</f>
        <v>0.30654547469932936</v>
      </c>
      <c r="U41" s="81"/>
    </row>
    <row r="42" spans="1:21" ht="12.75">
      <c r="A42" s="106" t="s">
        <v>339</v>
      </c>
      <c r="B42" s="132">
        <f>+riclassificazione!B111/+riclassificazione!B39</f>
        <v>0.6358709677419355</v>
      </c>
      <c r="C42" s="133"/>
      <c r="D42" s="132">
        <f>+riclassificazione!D111/+((+riclassificazione!B39+riclassificazione!D39)/2)</f>
        <v>0.7477532060991618</v>
      </c>
      <c r="E42" s="133"/>
      <c r="F42" s="132">
        <f>+riclassificazione!F111/+((+riclassificazione!D39+riclassificazione!F39)/2)</f>
        <v>0.8808744447042319</v>
      </c>
      <c r="G42" s="133"/>
      <c r="H42" s="132">
        <f>+riclassificazione!H111/+((+riclassificazione!F39+riclassificazione!H39)/2)</f>
        <v>0.919098966860498</v>
      </c>
      <c r="I42" s="81"/>
      <c r="J42" s="132">
        <f>+riclassificazione!J111/+((+riclassificazione!H39+riclassificazione!J39)/2)</f>
        <v>0.902882340288234</v>
      </c>
      <c r="K42" s="81"/>
      <c r="L42" s="132">
        <f>+riclassificazione!L111/+((+riclassificazione!J39+riclassificazione!L39)/2)</f>
        <v>0.9651156954273955</v>
      </c>
      <c r="M42" s="81"/>
      <c r="N42" s="132">
        <f>+riclassificazione!N111/+((+riclassificazione!L39+riclassificazione!N39)/2)</f>
        <v>0.9963696521299573</v>
      </c>
      <c r="O42" s="81"/>
      <c r="P42" s="132">
        <f>+riclassificazione!P111/+((+riclassificazione!N39+riclassificazione!P39)/2)</f>
        <v>0.898026609518707</v>
      </c>
      <c r="Q42" s="81"/>
      <c r="R42" s="132">
        <f>+riclassificazione!R111/+((+riclassificazione!P39+riclassificazione!R39)/2)</f>
        <v>0.5935612725284132</v>
      </c>
      <c r="S42" s="81"/>
      <c r="T42" s="132">
        <f>+riclassificazione!T111/+((+riclassificazione!R39+riclassificazione!T39)/2)</f>
        <v>0.5422283221410715</v>
      </c>
      <c r="U42" s="81"/>
    </row>
    <row r="43" spans="1:21" ht="12.75">
      <c r="A43" s="106" t="s">
        <v>140</v>
      </c>
      <c r="B43" s="132">
        <f>+riclassificazione!B111/+riclassificazione!B27</f>
        <v>1.7339901477832513</v>
      </c>
      <c r="C43" s="133"/>
      <c r="D43" s="132">
        <f>+riclassificazione!D111/+((+riclassificazione!B27+riclassificazione!D27)/2)</f>
        <v>1.668356426720739</v>
      </c>
      <c r="E43" s="133"/>
      <c r="F43" s="132">
        <f>+riclassificazione!F111/+((+riclassificazione!D27+riclassificazione!F27)/2)</f>
        <v>1.565876974231089</v>
      </c>
      <c r="G43" s="133"/>
      <c r="H43" s="132">
        <f>+riclassificazione!H111/+((+riclassificazione!F27+riclassificazione!H27)/2)</f>
        <v>1.560134163871586</v>
      </c>
      <c r="I43" s="81"/>
      <c r="J43" s="132">
        <f>+riclassificazione!J111/+((+riclassificazione!H27+riclassificazione!J27)/2)</f>
        <v>1.5153429602888087</v>
      </c>
      <c r="K43" s="81"/>
      <c r="L43" s="132">
        <f>+riclassificazione!L111/+((+riclassificazione!J27+riclassificazione!L27)/2)</f>
        <v>1.5400881057268723</v>
      </c>
      <c r="M43" s="81"/>
      <c r="N43" s="132">
        <f>+riclassificazione!N111/+((+riclassificazione!L27+riclassificazione!N27)/2)</f>
        <v>1.5428734078132782</v>
      </c>
      <c r="O43" s="81"/>
      <c r="P43" s="132">
        <f>+riclassificazione!P111/+((+riclassificazione!N27+riclassificazione!P27)/2)</f>
        <v>1.4030412946428572</v>
      </c>
      <c r="Q43" s="81"/>
      <c r="R43" s="132">
        <f>+riclassificazione!R111/+((+riclassificazione!P27+riclassificazione!R27)/2)</f>
        <v>0.863029800179769</v>
      </c>
      <c r="S43" s="81"/>
      <c r="T43" s="132">
        <f>+riclassificazione!T111/+((+riclassificazione!R27+riclassificazione!T27)/2)</f>
        <v>0.9088817681373758</v>
      </c>
      <c r="U43" s="81"/>
    </row>
    <row r="44" spans="1:21" ht="12.75">
      <c r="A44" s="106"/>
      <c r="B44" s="131"/>
      <c r="C44" s="81"/>
      <c r="D44" s="131"/>
      <c r="E44" s="81"/>
      <c r="F44" s="131"/>
      <c r="G44" s="81"/>
      <c r="H44" s="131"/>
      <c r="I44" s="81"/>
      <c r="J44" s="131"/>
      <c r="K44" s="81"/>
      <c r="L44" s="131"/>
      <c r="M44" s="81"/>
      <c r="N44" s="131"/>
      <c r="O44" s="81"/>
      <c r="P44" s="131"/>
      <c r="Q44" s="81"/>
      <c r="R44" s="131"/>
      <c r="S44" s="81"/>
      <c r="T44" s="131"/>
      <c r="U44" s="81"/>
    </row>
    <row r="45" spans="1:21" ht="12.75">
      <c r="A45" s="127" t="s">
        <v>141</v>
      </c>
      <c r="B45" s="131"/>
      <c r="C45" s="81"/>
      <c r="D45" s="131"/>
      <c r="E45" s="81"/>
      <c r="F45" s="131"/>
      <c r="G45" s="81"/>
      <c r="H45" s="131"/>
      <c r="I45" s="81"/>
      <c r="J45" s="131"/>
      <c r="K45" s="81"/>
      <c r="L45" s="131"/>
      <c r="M45" s="81"/>
      <c r="N45" s="131"/>
      <c r="O45" s="81"/>
      <c r="P45" s="131"/>
      <c r="Q45" s="81"/>
      <c r="R45" s="131"/>
      <c r="S45" s="81"/>
      <c r="T45" s="131"/>
      <c r="U45" s="81"/>
    </row>
    <row r="46" spans="1:21" ht="12.75">
      <c r="A46" s="106" t="s">
        <v>142</v>
      </c>
      <c r="B46" s="137">
        <f>-riclassificazione!B125/+riclassificazione!B8</f>
        <v>0.09536199095022624</v>
      </c>
      <c r="C46" s="114"/>
      <c r="D46" s="137">
        <f>-riclassificazione!D125/+riclassificazione!D8</f>
        <v>0.07032537067545305</v>
      </c>
      <c r="E46" s="114"/>
      <c r="F46" s="137">
        <f>-riclassificazione!F125/+riclassificazione!F8</f>
        <v>0.060303626651672756</v>
      </c>
      <c r="G46" s="114"/>
      <c r="H46" s="137">
        <f>-riclassificazione!H125/+riclassificazione!H8</f>
        <v>0.05686223830447144</v>
      </c>
      <c r="I46" s="81"/>
      <c r="J46" s="137">
        <f>-riclassificazione!J125/+riclassificazione!J8</f>
        <v>0.06350607321481108</v>
      </c>
      <c r="K46" s="81"/>
      <c r="L46" s="137">
        <f>-riclassificazione!L125/+riclassificazione!L8</f>
        <v>0.04794122771357222</v>
      </c>
      <c r="M46" s="81"/>
      <c r="N46" s="137">
        <f>-riclassificazione!N125/+riclassificazione!N8</f>
        <v>0.028061507716220718</v>
      </c>
      <c r="O46" s="81"/>
      <c r="P46" s="137">
        <f>-riclassificazione!P125/+riclassificazione!P8</f>
        <v>0.028564641605796068</v>
      </c>
      <c r="Q46" s="81"/>
      <c r="R46" s="137">
        <f>-riclassificazione!R125/+riclassificazione!R8</f>
        <v>0.03146873043874125</v>
      </c>
      <c r="S46" s="81"/>
      <c r="T46" s="137">
        <f>-riclassificazione!T125/+riclassificazione!T8</f>
        <v>0.03128964059196617</v>
      </c>
      <c r="U46" s="81"/>
    </row>
    <row r="47" spans="1:21" ht="12.75">
      <c r="A47" s="106" t="s">
        <v>143</v>
      </c>
      <c r="B47" s="137">
        <f>+riclassificazione!B9/-riclassificazione!B8</f>
        <v>0.6701357466063348</v>
      </c>
      <c r="C47" s="114"/>
      <c r="D47" s="137">
        <f>+riclassificazione!D9/-riclassificazione!D8</f>
        <v>0.6802924217462932</v>
      </c>
      <c r="E47" s="114"/>
      <c r="F47" s="137">
        <f>+riclassificazione!F9/-riclassificazione!F8</f>
        <v>0.6794583450473245</v>
      </c>
      <c r="G47" s="114"/>
      <c r="H47" s="137">
        <f>+riclassificazione!H9/-riclassificazione!H8</f>
        <v>0.681485310588438</v>
      </c>
      <c r="I47" s="81"/>
      <c r="J47" s="137">
        <f>+riclassificazione!J9/-riclassificazione!J8</f>
        <v>0.6742739461186064</v>
      </c>
      <c r="K47" s="81"/>
      <c r="L47" s="137">
        <f>+riclassificazione!L9/-riclassificazione!L8</f>
        <v>0.7838434287705441</v>
      </c>
      <c r="M47" s="81"/>
      <c r="N47" s="137">
        <f>+riclassificazione!N9/-riclassificazione!N8</f>
        <v>0.7772010658376818</v>
      </c>
      <c r="O47" s="81"/>
      <c r="P47" s="137">
        <f>+riclassificazione!P9/-riclassificazione!P8</f>
        <v>0.4966446938654314</v>
      </c>
      <c r="Q47" s="81"/>
      <c r="R47" s="137">
        <f>+riclassificazione!R9/-riclassificazione!R8</f>
        <v>0.5073408069197064</v>
      </c>
      <c r="S47" s="81"/>
      <c r="T47" s="137">
        <f>+riclassificazione!T9/-riclassificazione!T8</f>
        <v>0.5339252995066949</v>
      </c>
      <c r="U47" s="81"/>
    </row>
    <row r="48" spans="1:21" ht="12.75">
      <c r="A48" s="106"/>
      <c r="B48" s="131"/>
      <c r="C48" s="81"/>
      <c r="D48" s="131"/>
      <c r="E48" s="81"/>
      <c r="F48" s="131"/>
      <c r="G48" s="81"/>
      <c r="H48" s="131"/>
      <c r="I48" s="81"/>
      <c r="J48" s="131"/>
      <c r="K48" s="81"/>
      <c r="L48" s="131"/>
      <c r="M48" s="81"/>
      <c r="N48" s="131"/>
      <c r="O48" s="81"/>
      <c r="P48" s="131"/>
      <c r="Q48" s="81"/>
      <c r="R48" s="131"/>
      <c r="S48" s="81"/>
      <c r="T48" s="131"/>
      <c r="U48" s="81"/>
    </row>
    <row r="49" spans="1:21" ht="12.75">
      <c r="A49" s="127" t="s">
        <v>332</v>
      </c>
      <c r="B49" s="131"/>
      <c r="C49" s="81"/>
      <c r="D49" s="131"/>
      <c r="E49" s="81"/>
      <c r="F49" s="131"/>
      <c r="G49" s="81"/>
      <c r="H49" s="131"/>
      <c r="I49" s="81"/>
      <c r="J49" s="131"/>
      <c r="K49" s="81"/>
      <c r="L49" s="131"/>
      <c r="M49" s="81"/>
      <c r="N49" s="131"/>
      <c r="O49" s="81"/>
      <c r="P49" s="131"/>
      <c r="Q49" s="81"/>
      <c r="R49" s="131"/>
      <c r="S49" s="81"/>
      <c r="T49" s="131"/>
      <c r="U49" s="81"/>
    </row>
    <row r="50" spans="1:21" ht="12.75">
      <c r="A50" s="106"/>
      <c r="B50" s="131"/>
      <c r="C50" s="81"/>
      <c r="D50" s="131"/>
      <c r="E50" s="81"/>
      <c r="F50" s="131"/>
      <c r="G50" s="81"/>
      <c r="H50" s="131"/>
      <c r="I50" s="81"/>
      <c r="J50" s="131"/>
      <c r="K50" s="81"/>
      <c r="L50" s="131"/>
      <c r="M50" s="81"/>
      <c r="N50" s="131"/>
      <c r="O50" s="81"/>
      <c r="P50" s="131"/>
      <c r="Q50" s="81"/>
      <c r="R50" s="131"/>
      <c r="S50" s="81"/>
      <c r="T50" s="131"/>
      <c r="U50" s="81"/>
    </row>
    <row r="51" spans="1:21" ht="12.75">
      <c r="A51" s="138" t="s">
        <v>299</v>
      </c>
      <c r="B51" s="131"/>
      <c r="C51" s="81"/>
      <c r="D51" s="131"/>
      <c r="E51" s="81"/>
      <c r="F51" s="131"/>
      <c r="G51" s="81"/>
      <c r="H51" s="131"/>
      <c r="I51" s="81"/>
      <c r="J51" s="131"/>
      <c r="K51" s="81"/>
      <c r="L51" s="131"/>
      <c r="M51" s="81"/>
      <c r="N51" s="131"/>
      <c r="O51" s="81"/>
      <c r="P51" s="131"/>
      <c r="Q51" s="81"/>
      <c r="R51" s="131"/>
      <c r="S51" s="81"/>
      <c r="T51" s="131"/>
      <c r="U51" s="81"/>
    </row>
    <row r="52" spans="1:21" ht="12.75">
      <c r="A52" s="134" t="s">
        <v>144</v>
      </c>
      <c r="B52" s="139">
        <f>+(+riclassificazione!B157-riclassificazione!B139)/+sintesi!B24</f>
        <v>0.02846287590958851</v>
      </c>
      <c r="C52" s="140"/>
      <c r="D52" s="139">
        <f>+(+riclassificazione!D157-riclassificazione!D139)/+sintesi!D24</f>
        <v>0.023965141612200435</v>
      </c>
      <c r="E52" s="140"/>
      <c r="F52" s="139">
        <f>+(+riclassificazione!F157-riclassificazione!F139)/+sintesi!F24</f>
        <v>0.02233389168062535</v>
      </c>
      <c r="G52" s="140"/>
      <c r="H52" s="139">
        <f>+(+riclassificazione!H157-riclassificazione!H139)/+sintesi!H24</f>
        <v>0.006758513127112035</v>
      </c>
      <c r="I52" s="81"/>
      <c r="J52" s="139">
        <f>+(+riclassificazione!J157-riclassificazione!J139)/+sintesi!J24</f>
        <v>0.015267625560009431</v>
      </c>
      <c r="K52" s="81"/>
      <c r="L52" s="139">
        <f>+(+riclassificazione!L157-riclassificazione!L139)/+sintesi!L24</f>
        <v>-0.032218525652250044</v>
      </c>
      <c r="M52" s="81"/>
      <c r="N52" s="139">
        <f>+(+riclassificazione!N157-riclassificazione!N139)/+sintesi!N24</f>
        <v>0.03299583697383975</v>
      </c>
      <c r="O52" s="81"/>
      <c r="P52" s="139">
        <f>+(+riclassificazione!P157-riclassificazione!P139)/+sintesi!P24</f>
        <v>0.006461977865048197</v>
      </c>
      <c r="Q52" s="81"/>
      <c r="R52" s="139">
        <f>+(+riclassificazione!R157-riclassificazione!R139)/+sintesi!R24</f>
        <v>-0.007427692538545223</v>
      </c>
      <c r="S52" s="81"/>
      <c r="T52" s="139">
        <f>+(+riclassificazione!T157-riclassificazione!T139)/+sintesi!T24</f>
        <v>-0.5700839935664502</v>
      </c>
      <c r="U52" s="81"/>
    </row>
    <row r="53" spans="1:21" ht="12.75">
      <c r="A53" s="106" t="s">
        <v>145</v>
      </c>
      <c r="B53" s="137">
        <f>(-riclassificazione!B139-riclassificazione!B161)/+B21</f>
        <v>0.05045199120449548</v>
      </c>
      <c r="C53" s="114"/>
      <c r="D53" s="137">
        <f>(-riclassificazione!D139-riclassificazione!D161)/+D21</f>
        <v>0.05878824235152969</v>
      </c>
      <c r="E53" s="114"/>
      <c r="F53" s="137">
        <f>(-riclassificazione!F139-riclassificazione!F161)/+F21</f>
        <v>0.07479617157036512</v>
      </c>
      <c r="G53" s="114"/>
      <c r="H53" s="137">
        <f>(-riclassificazione!H139-riclassificazione!H161)/+H21</f>
        <v>0.04339511621065019</v>
      </c>
      <c r="I53" s="81"/>
      <c r="J53" s="137">
        <f>(-riclassificazione!J139-riclassificazione!J161)/+J21</f>
        <v>0.037590361445783135</v>
      </c>
      <c r="K53" s="81"/>
      <c r="L53" s="137">
        <f>(-riclassificazione!L139-riclassificazione!L161)/+L21</f>
        <v>0.0449726951493736</v>
      </c>
      <c r="M53" s="81"/>
      <c r="N53" s="137">
        <f>(-riclassificazione!N139-riclassificazione!N161)/+N21</f>
        <v>0.055225148683092605</v>
      </c>
      <c r="O53" s="81"/>
      <c r="P53" s="137">
        <f>(-riclassificazione!P139-riclassificazione!P161)/+P21</f>
        <v>0.06325248647705461</v>
      </c>
      <c r="Q53" s="81"/>
      <c r="R53" s="137">
        <f>(-riclassificazione!R139-riclassificazione!R161)/+R21</f>
        <v>0.052626685262668525</v>
      </c>
      <c r="S53" s="81"/>
      <c r="T53" s="137">
        <f>(-riclassificazione!T139-riclassificazione!T161)/+T21</f>
        <v>0.06017319882153379</v>
      </c>
      <c r="U53" s="81"/>
    </row>
    <row r="54" spans="1:21" ht="12.75">
      <c r="A54" s="106" t="s">
        <v>146</v>
      </c>
      <c r="B54" s="132">
        <f>+B21/B23</f>
        <v>1.4172437673130194</v>
      </c>
      <c r="C54" s="133"/>
      <c r="D54" s="132">
        <f>+D21/D23</f>
        <v>0.6904597542454783</v>
      </c>
      <c r="E54" s="133"/>
      <c r="F54" s="132">
        <f>+F21/F23</f>
        <v>0.7900854222097745</v>
      </c>
      <c r="G54" s="133"/>
      <c r="H54" s="132">
        <f>+H21/H23</f>
        <v>0.9781294964028777</v>
      </c>
      <c r="I54" s="81"/>
      <c r="J54" s="132">
        <f>+J21/J23</f>
        <v>1.2034217775844571</v>
      </c>
      <c r="K54" s="81"/>
      <c r="L54" s="132">
        <f>+L21/L23</f>
        <v>1.5762025316455697</v>
      </c>
      <c r="M54" s="81"/>
      <c r="N54" s="132">
        <f>+N21/N23</f>
        <v>1.5250503887129283</v>
      </c>
      <c r="O54" s="81"/>
      <c r="P54" s="132">
        <f>+P21/P23</f>
        <v>0.7808433817017508</v>
      </c>
      <c r="Q54" s="81"/>
      <c r="R54" s="132">
        <f>+R21/R23</f>
        <v>0.7729069349622709</v>
      </c>
      <c r="S54" s="81"/>
      <c r="T54" s="132">
        <f>+T21/T23</f>
        <v>3.0512122037591936</v>
      </c>
      <c r="U54" s="81"/>
    </row>
    <row r="55" spans="1:21" ht="12.75">
      <c r="A55" s="106"/>
      <c r="B55" s="132"/>
      <c r="C55" s="133"/>
      <c r="D55" s="131"/>
      <c r="E55" s="81"/>
      <c r="F55" s="131"/>
      <c r="G55" s="81"/>
      <c r="H55" s="131"/>
      <c r="I55" s="81"/>
      <c r="J55" s="131"/>
      <c r="K55" s="81"/>
      <c r="L55" s="131"/>
      <c r="M55" s="81"/>
      <c r="N55" s="131"/>
      <c r="O55" s="81"/>
      <c r="P55" s="131"/>
      <c r="Q55" s="81"/>
      <c r="R55" s="131"/>
      <c r="S55" s="81"/>
      <c r="T55" s="131"/>
      <c r="U55" s="81"/>
    </row>
    <row r="56" spans="1:21" ht="12.75">
      <c r="A56" s="138" t="s">
        <v>300</v>
      </c>
      <c r="B56" s="132"/>
      <c r="C56" s="133"/>
      <c r="D56" s="131"/>
      <c r="E56" s="81"/>
      <c r="F56" s="131"/>
      <c r="G56" s="81"/>
      <c r="H56" s="131"/>
      <c r="I56" s="81"/>
      <c r="J56" s="131"/>
      <c r="K56" s="81"/>
      <c r="L56" s="131"/>
      <c r="M56" s="81"/>
      <c r="N56" s="131"/>
      <c r="O56" s="81"/>
      <c r="P56" s="131"/>
      <c r="Q56" s="81"/>
      <c r="R56" s="131"/>
      <c r="S56" s="81"/>
      <c r="T56" s="131"/>
      <c r="U56" s="81"/>
    </row>
    <row r="57" spans="1:21" ht="12.75">
      <c r="A57" s="134" t="s">
        <v>147</v>
      </c>
      <c r="B57" s="139">
        <f>+riclassificazione!B138/riclassificazione!B41</f>
        <v>-0.03849612228841182</v>
      </c>
      <c r="C57" s="140"/>
      <c r="D57" s="139">
        <f>+riclassificazione!D138/riclassificazione!D41</f>
        <v>0.027578773854054398</v>
      </c>
      <c r="E57" s="140"/>
      <c r="F57" s="139">
        <f>+riclassificazione!F138/riclassificazione!F41</f>
        <v>0.04052487030820873</v>
      </c>
      <c r="G57" s="140"/>
      <c r="H57" s="139">
        <f>+riclassificazione!H138/riclassificazione!H41</f>
        <v>0.0327965205125191</v>
      </c>
      <c r="I57" s="81"/>
      <c r="J57" s="139">
        <f>+riclassificazione!J138/riclassificazione!J41</f>
        <v>0.0006216328222130128</v>
      </c>
      <c r="K57" s="81"/>
      <c r="L57" s="139">
        <f>+riclassificazione!L138/riclassificazione!L41</f>
        <v>-0.0222210657785179</v>
      </c>
      <c r="M57" s="81"/>
      <c r="N57" s="139">
        <f>+riclassificazione!N138/riclassificazione!N41</f>
        <v>0.03598555020377918</v>
      </c>
      <c r="O57" s="81"/>
      <c r="P57" s="139">
        <f>+riclassificazione!P138/riclassificazione!P41</f>
        <v>0.008481876615201113</v>
      </c>
      <c r="Q57" s="81"/>
      <c r="R57" s="139">
        <f>+riclassificazione!R138/riclassificazione!R41</f>
        <v>-0.003873488497423288</v>
      </c>
      <c r="S57" s="81"/>
      <c r="T57" s="139">
        <f>+riclassificazione!T138/riclassificazione!T41</f>
        <v>-0.35711620270169414</v>
      </c>
      <c r="U57" s="81"/>
    </row>
    <row r="58" spans="1:21" ht="12.75">
      <c r="A58" s="106" t="s">
        <v>148</v>
      </c>
      <c r="B58" s="139">
        <f>-riclassificazione!B139/+(+riclassificazione!B102-riclassificazione!B76-riclassificazione!B70)</f>
        <v>0.03951774949765573</v>
      </c>
      <c r="C58" s="140"/>
      <c r="D58" s="139">
        <f>-riclassificazione!D139/+(+riclassificazione!D102-riclassificazione!D76-riclassificazione!D70)</f>
        <v>0.04197601370645346</v>
      </c>
      <c r="E58" s="140"/>
      <c r="F58" s="139">
        <f>-riclassificazione!F139/+(+riclassificazione!F102-riclassificazione!F76-riclassificazione!F70)</f>
        <v>0.05481231328743993</v>
      </c>
      <c r="G58" s="140"/>
      <c r="H58" s="139">
        <f>-riclassificazione!H139/+(+riclassificazione!H102-riclassificazione!H76-riclassificazione!H70)</f>
        <v>0.03501899335232669</v>
      </c>
      <c r="I58" s="81"/>
      <c r="J58" s="139">
        <f>-riclassificazione!J139/+(+riclassificazione!J102-riclassificazione!J76-riclassificazione!J70)</f>
        <v>0.02933433621662279</v>
      </c>
      <c r="K58" s="81"/>
      <c r="L58" s="139">
        <f>-riclassificazione!L139/+(+riclassificazione!L102-riclassificazione!L76-riclassificazione!L70)</f>
        <v>0.03677114340745929</v>
      </c>
      <c r="M58" s="81"/>
      <c r="N58" s="139">
        <f>-riclassificazione!N139/+(+riclassificazione!N102-riclassificazione!N76-riclassificazione!N70)</f>
        <v>0.045961659333752354</v>
      </c>
      <c r="O58" s="81"/>
      <c r="P58" s="139">
        <f>-riclassificazione!P139/+(+riclassificazione!P102-riclassificazione!P76-riclassificazione!P70)</f>
        <v>0.05318758711759959</v>
      </c>
      <c r="Q58" s="81"/>
      <c r="R58" s="139">
        <f>-riclassificazione!R139/+(+riclassificazione!R102-riclassificazione!R76-riclassificazione!R70)</f>
        <v>0.04105316602596649</v>
      </c>
      <c r="S58" s="81"/>
      <c r="T58" s="139">
        <f>-riclassificazione!T139/+(+riclassificazione!T102-riclassificazione!T76-riclassificazione!T70)</f>
        <v>0.040313415874155156</v>
      </c>
      <c r="U58" s="81"/>
    </row>
    <row r="59" spans="1:21" ht="12.75">
      <c r="A59" s="106" t="s">
        <v>149</v>
      </c>
      <c r="B59" s="132">
        <f>+(+riclassificazione!B102-riclassificazione!B70)/riclassificazione!B70</f>
        <v>2.080678670360111</v>
      </c>
      <c r="C59" s="133"/>
      <c r="D59" s="132">
        <f>+(+riclassificazione!D102-riclassificazione!D70)/riclassificazione!D70</f>
        <v>1.1776888029821897</v>
      </c>
      <c r="E59" s="133"/>
      <c r="F59" s="132">
        <f>+(+riclassificazione!F102-riclassificazione!F70)/riclassificazione!F70</f>
        <v>1.2944965691079682</v>
      </c>
      <c r="G59" s="133"/>
      <c r="H59" s="132">
        <f>+(+riclassificazione!H102-riclassificazione!H70)/riclassificazione!H70</f>
        <v>1.4480575539568346</v>
      </c>
      <c r="I59" s="81"/>
      <c r="J59" s="132">
        <f>+(+riclassificazione!J102-riclassificazione!J70)/riclassificazione!J70</f>
        <v>1.7988980716253444</v>
      </c>
      <c r="K59" s="81"/>
      <c r="L59" s="132">
        <f>+(+riclassificazione!L102-riclassificazione!L70)/riclassificazione!L70</f>
        <v>2.2432067510548523</v>
      </c>
      <c r="M59" s="81"/>
      <c r="N59" s="132">
        <f>+(+riclassificazione!N102-riclassificazione!N70)/riclassificazione!N70</f>
        <v>2.1085516844226895</v>
      </c>
      <c r="O59" s="81"/>
      <c r="P59" s="132">
        <f>+(+riclassificazione!P102-riclassificazione!P70)/riclassificazione!P70</f>
        <v>1.0561346140745282</v>
      </c>
      <c r="Q59" s="81"/>
      <c r="R59" s="132">
        <f>+(+riclassificazione!R102-riclassificazione!R70)/riclassificazione!R70</f>
        <v>1.133596837944664</v>
      </c>
      <c r="S59" s="81"/>
      <c r="T59" s="132">
        <f>+(+riclassificazione!T102-riclassificazione!T70)/riclassificazione!T70</f>
        <v>6.299918278398256</v>
      </c>
      <c r="U59" s="81"/>
    </row>
    <row r="60" spans="1:21" ht="12.75">
      <c r="A60" s="106"/>
      <c r="B60" s="132"/>
      <c r="C60" s="133"/>
      <c r="D60" s="132"/>
      <c r="E60" s="133"/>
      <c r="F60" s="132"/>
      <c r="G60" s="133"/>
      <c r="H60" s="132"/>
      <c r="I60" s="81"/>
      <c r="J60" s="132"/>
      <c r="K60" s="81"/>
      <c r="L60" s="132"/>
      <c r="M60" s="81"/>
      <c r="N60" s="132"/>
      <c r="O60" s="81"/>
      <c r="P60" s="132"/>
      <c r="Q60" s="81"/>
      <c r="R60" s="132"/>
      <c r="S60" s="81"/>
      <c r="T60" s="132"/>
      <c r="U60" s="81"/>
    </row>
    <row r="61" spans="1:21" ht="12.75">
      <c r="A61" s="222"/>
      <c r="B61" s="222">
        <f>+B1</f>
        <v>0</v>
      </c>
      <c r="C61" s="222"/>
      <c r="D61" s="222"/>
      <c r="E61" s="222"/>
      <c r="F61" s="222" t="str">
        <f>+F1</f>
        <v>Brianza</v>
      </c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</row>
    <row r="62" spans="1:21" ht="12.75">
      <c r="A62" s="222" t="str">
        <f>+A2</f>
        <v>Minuterie metalliche</v>
      </c>
      <c r="B62" s="222"/>
      <c r="C62" s="222"/>
      <c r="D62" s="222" t="s">
        <v>3</v>
      </c>
      <c r="E62" s="222"/>
      <c r="F62" s="222">
        <f>+E2</f>
        <v>0</v>
      </c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</row>
    <row r="63" spans="1:21" ht="12.75">
      <c r="A63" s="142" t="s">
        <v>328</v>
      </c>
      <c r="B63" s="235">
        <f>+B3</f>
        <v>37256</v>
      </c>
      <c r="C63" s="236"/>
      <c r="D63" s="235">
        <f>+D3</f>
        <v>37621</v>
      </c>
      <c r="E63" s="236"/>
      <c r="F63" s="235">
        <f>+F3</f>
        <v>37986</v>
      </c>
      <c r="G63" s="236"/>
      <c r="H63" s="235">
        <f>+H3</f>
        <v>38352</v>
      </c>
      <c r="I63" s="236"/>
      <c r="J63" s="235">
        <f>+J3</f>
        <v>38717</v>
      </c>
      <c r="K63" s="236"/>
      <c r="L63" s="235">
        <f>+L3</f>
        <v>39082</v>
      </c>
      <c r="M63" s="236"/>
      <c r="N63" s="235">
        <f>+N3</f>
        <v>39447</v>
      </c>
      <c r="O63" s="236"/>
      <c r="P63" s="235">
        <f>+P3</f>
        <v>39813</v>
      </c>
      <c r="Q63" s="236"/>
      <c r="R63" s="235">
        <f>+R3</f>
        <v>40178</v>
      </c>
      <c r="S63" s="236"/>
      <c r="T63" s="235">
        <f>+T3</f>
        <v>40543</v>
      </c>
      <c r="U63" s="236"/>
    </row>
    <row r="64" spans="1:21" ht="12.75">
      <c r="A64" s="106"/>
      <c r="B64" s="132"/>
      <c r="C64" s="133"/>
      <c r="D64" s="132"/>
      <c r="E64" s="133"/>
      <c r="F64" s="132"/>
      <c r="G64" s="133"/>
      <c r="H64" s="132"/>
      <c r="I64" s="81"/>
      <c r="J64" s="132"/>
      <c r="K64" s="81"/>
      <c r="L64" s="132"/>
      <c r="M64" s="81"/>
      <c r="N64" s="132"/>
      <c r="O64" s="81"/>
      <c r="P64" s="132"/>
      <c r="Q64" s="81"/>
      <c r="R64" s="132"/>
      <c r="S64" s="81"/>
      <c r="T64" s="132"/>
      <c r="U64" s="81"/>
    </row>
    <row r="65" spans="1:21" ht="12.75">
      <c r="A65" s="138" t="s">
        <v>301</v>
      </c>
      <c r="B65" s="139">
        <f>+riclassificazione!B157/+(riclassificazione!B70-riclassificazione!B66)</f>
        <v>0.005020775623268698</v>
      </c>
      <c r="C65" s="140"/>
      <c r="D65" s="139">
        <f>+riclassificazione!D157/+(riclassificazione!D70-riclassificazione!D66)</f>
        <v>0.004970316167333977</v>
      </c>
      <c r="E65" s="140"/>
      <c r="F65" s="139">
        <f>+riclassificazione!F157/+(riclassificazione!F70-riclassificazione!F66)</f>
        <v>-0.01428371376557905</v>
      </c>
      <c r="G65" s="140"/>
      <c r="H65" s="139">
        <f>+riclassificazione!H157/+(riclassificazione!H70-riclassificazione!H66)</f>
        <v>-0.02748201438848921</v>
      </c>
      <c r="I65" s="81"/>
      <c r="J65" s="139">
        <f>+riclassificazione!J157/+(riclassificazione!J70-riclassificazione!J66)</f>
        <v>-0.007684500507467015</v>
      </c>
      <c r="K65" s="81"/>
      <c r="L65" s="139">
        <f>+riclassificazione!L157/+(riclassificazione!L70-riclassificazione!L66)</f>
        <v>-0.1640506329113924</v>
      </c>
      <c r="M65" s="81"/>
      <c r="N65" s="139">
        <f>+riclassificazione!N157/+(riclassificazione!N70-riclassificazione!N66)</f>
        <v>0.008206161819752375</v>
      </c>
      <c r="O65" s="81"/>
      <c r="P65" s="139">
        <f>+riclassificazione!P157/+(riclassificazione!P70-riclassificazione!P66)</f>
        <v>-0.03705974521425165</v>
      </c>
      <c r="Q65" s="81"/>
      <c r="R65" s="139">
        <f>+riclassificazione!R157/+(riclassificazione!R70-riclassificazione!R66)</f>
        <v>-0.054904779015450954</v>
      </c>
      <c r="S65" s="81"/>
      <c r="T65" s="139">
        <f>+riclassificazione!T157/+(riclassificazione!T70-riclassificazione!T66)</f>
        <v>-2.7905202941977665</v>
      </c>
      <c r="U65" s="81"/>
    </row>
    <row r="66" spans="1:21" ht="12.75">
      <c r="A66" s="138" t="s">
        <v>302</v>
      </c>
      <c r="B66" s="139">
        <f>+riclassificazione!B138/riclassificazione!B111</f>
        <v>-0.09266774891774891</v>
      </c>
      <c r="C66" s="140"/>
      <c r="D66" s="139">
        <f>+riclassificazione!D138/riclassificazione!D111</f>
        <v>0.0587440918298447</v>
      </c>
      <c r="E66" s="140"/>
      <c r="F66" s="139">
        <f>+riclassificazione!F138/riclassificazione!F111</f>
        <v>0.08812209688122097</v>
      </c>
      <c r="G66" s="140"/>
      <c r="H66" s="139">
        <f>+riclassificazione!H138/riclassificazione!H111</f>
        <v>0.06855036855036856</v>
      </c>
      <c r="I66" s="81"/>
      <c r="J66" s="139">
        <f>+riclassificazione!J138/riclassificazione!J111</f>
        <v>0.0014294222751637879</v>
      </c>
      <c r="K66" s="81"/>
      <c r="L66" s="139">
        <f>+riclassificazione!L138/riclassificazione!L111</f>
        <v>-0.044414395672976906</v>
      </c>
      <c r="M66" s="81"/>
      <c r="N66" s="139">
        <f>+riclassificazione!N138/riclassificazione!N111</f>
        <v>0.07167235494880546</v>
      </c>
      <c r="O66" s="81"/>
      <c r="P66" s="139">
        <f>+riclassificazione!P138/riclassificazione!P111</f>
        <v>0.0254549070299294</v>
      </c>
      <c r="Q66" s="81"/>
      <c r="R66" s="139">
        <f>+riclassificazione!R138/riclassificazione!R111</f>
        <v>-0.018426534209261335</v>
      </c>
      <c r="S66" s="81"/>
      <c r="T66" s="139">
        <f>+riclassificazione!T138/riclassificazione!T111</f>
        <v>-1.730247694811065</v>
      </c>
      <c r="U66" s="81"/>
    </row>
    <row r="67" spans="1:21" ht="12.75">
      <c r="A67" s="138" t="s">
        <v>340</v>
      </c>
      <c r="B67" s="132">
        <f>+riclassificazione!B111/riclassificazione!B41</f>
        <v>0.4154209284028324</v>
      </c>
      <c r="C67" s="133"/>
      <c r="D67" s="132">
        <f>+riclassificazione!D111/riclassificazione!D41</f>
        <v>0.4694731503201674</v>
      </c>
      <c r="E67" s="133"/>
      <c r="F67" s="132">
        <f>+riclassificazione!F111/riclassificazione!F41</f>
        <v>0.45987183399450715</v>
      </c>
      <c r="G67" s="133"/>
      <c r="H67" s="132">
        <f>+riclassificazione!H111/riclassificazione!H41</f>
        <v>0.47842952862348653</v>
      </c>
      <c r="I67" s="81"/>
      <c r="J67" s="132">
        <f>+riclassificazione!J111/riclassificazione!J41</f>
        <v>0.4348839618731869</v>
      </c>
      <c r="K67" s="81"/>
      <c r="L67" s="132">
        <f>+riclassificazione!L111/riclassificazione!L41</f>
        <v>0.5003122398001665</v>
      </c>
      <c r="M67" s="81"/>
      <c r="N67" s="132">
        <f>+riclassificazione!N111/riclassificazione!N41</f>
        <v>0.5020841052241571</v>
      </c>
      <c r="O67" s="81"/>
      <c r="P67" s="132">
        <f>+riclassificazione!P111/riclassificazione!P41</f>
        <v>0.33321184812139687</v>
      </c>
      <c r="Q67" s="81"/>
      <c r="R67" s="132">
        <f>+riclassificazione!R111/riclassificazione!R41</f>
        <v>0.2102125366297282</v>
      </c>
      <c r="S67" s="81"/>
      <c r="T67" s="132">
        <f>+riclassificazione!T111/riclassificazione!T41</f>
        <v>0.20639599970147027</v>
      </c>
      <c r="U67" s="81"/>
    </row>
    <row r="68" spans="1:21" ht="12.75">
      <c r="A68" s="141" t="s">
        <v>303</v>
      </c>
      <c r="B68" s="131"/>
      <c r="C68" s="81"/>
      <c r="D68" s="131"/>
      <c r="E68" s="81"/>
      <c r="F68" s="131"/>
      <c r="G68" s="81"/>
      <c r="H68" s="131"/>
      <c r="I68" s="81"/>
      <c r="J68" s="139">
        <f>+riclassificazione!J150/(riclassificazione!J70)</f>
        <v>-0.05843120197187183</v>
      </c>
      <c r="K68" s="81"/>
      <c r="L68" s="131"/>
      <c r="M68" s="81"/>
      <c r="N68" s="131"/>
      <c r="O68" s="81"/>
      <c r="P68" s="131"/>
      <c r="Q68" s="81"/>
      <c r="R68" s="131"/>
      <c r="S68" s="81"/>
      <c r="T68" s="131"/>
      <c r="U68" s="81"/>
    </row>
    <row r="69" spans="1:21" ht="3" customHeight="1">
      <c r="A69" s="106"/>
      <c r="B69" s="131"/>
      <c r="C69" s="81"/>
      <c r="D69" s="131"/>
      <c r="E69" s="81"/>
      <c r="F69" s="131"/>
      <c r="G69" s="81"/>
      <c r="H69" s="131"/>
      <c r="I69" s="81"/>
      <c r="J69" s="131"/>
      <c r="K69" s="81"/>
      <c r="L69" s="131"/>
      <c r="M69" s="81"/>
      <c r="N69" s="131"/>
      <c r="O69" s="81"/>
      <c r="P69" s="131"/>
      <c r="Q69" s="81"/>
      <c r="R69" s="131"/>
      <c r="S69" s="81"/>
      <c r="T69" s="131"/>
      <c r="U69" s="81"/>
    </row>
    <row r="70" spans="1:21" ht="12.75">
      <c r="A70" s="130" t="s">
        <v>150</v>
      </c>
      <c r="B70" s="131"/>
      <c r="C70" s="81"/>
      <c r="D70" s="131"/>
      <c r="E70" s="81"/>
      <c r="F70" s="131"/>
      <c r="G70" s="81"/>
      <c r="H70" s="131"/>
      <c r="I70" s="81"/>
      <c r="J70" s="131"/>
      <c r="K70" s="81"/>
      <c r="L70" s="131"/>
      <c r="M70" s="81"/>
      <c r="N70" s="131"/>
      <c r="O70" s="81"/>
      <c r="P70" s="131"/>
      <c r="Q70" s="81"/>
      <c r="R70" s="131"/>
      <c r="S70" s="81"/>
      <c r="T70" s="131"/>
      <c r="U70" s="81"/>
    </row>
    <row r="71" spans="1:21" ht="12.75">
      <c r="A71" s="138" t="s">
        <v>151</v>
      </c>
      <c r="B71" s="131"/>
      <c r="C71" s="81"/>
      <c r="D71" s="131"/>
      <c r="E71" s="81"/>
      <c r="F71" s="131"/>
      <c r="G71" s="81"/>
      <c r="H71" s="131"/>
      <c r="I71" s="81"/>
      <c r="J71" s="131"/>
      <c r="K71" s="81"/>
      <c r="L71" s="131"/>
      <c r="M71" s="81"/>
      <c r="N71" s="131"/>
      <c r="O71" s="81"/>
      <c r="P71" s="131"/>
      <c r="Q71" s="81"/>
      <c r="R71" s="131"/>
      <c r="S71" s="81"/>
      <c r="T71" s="131"/>
      <c r="U71" s="81"/>
    </row>
    <row r="72" spans="1:21" ht="12.75">
      <c r="A72" s="134" t="s">
        <v>152</v>
      </c>
      <c r="B72" s="143">
        <f>+riclassificazione!B138/-riclassificazione!B139</f>
        <v>-1.658595641646489</v>
      </c>
      <c r="C72" s="133"/>
      <c r="D72" s="143">
        <f>+riclassificazione!D138/-riclassificazione!D139</f>
        <v>1.4795918367346939</v>
      </c>
      <c r="E72" s="133"/>
      <c r="F72" s="143">
        <f>+riclassificazione!F138/-riclassificazione!F139</f>
        <v>1.5734597156398105</v>
      </c>
      <c r="G72" s="133"/>
      <c r="H72" s="143">
        <f>+riclassificazione!H138/-riclassificazione!H139</f>
        <v>1.8915254237288135</v>
      </c>
      <c r="I72" s="81"/>
      <c r="J72" s="143">
        <f>+riclassificazione!J138/-riclassificazione!J139</f>
        <v>0.038461538461538464</v>
      </c>
      <c r="K72" s="81"/>
      <c r="L72" s="143">
        <f>+riclassificazione!L138/-riclassificazione!L139</f>
        <v>-1.0166666666666666</v>
      </c>
      <c r="M72" s="81"/>
      <c r="N72" s="143">
        <f>+riclassificazione!N138/-riclassificazione!N139</f>
        <v>1.3282051282051281</v>
      </c>
      <c r="O72" s="81"/>
      <c r="P72" s="143">
        <f>+riclassificazione!P138/-riclassificazione!P139</f>
        <v>0.35310344827586204</v>
      </c>
      <c r="Q72" s="81"/>
      <c r="R72" s="143">
        <f>+riclassificazione!R138/-riclassificazione!R139</f>
        <v>-0.20318021201413428</v>
      </c>
      <c r="S72" s="81"/>
      <c r="T72" s="143">
        <f>+riclassificazione!T138/-riclassificazione!T139</f>
        <v>-14.198813056379821</v>
      </c>
      <c r="U72" s="81"/>
    </row>
    <row r="73" spans="1:21" ht="12.75">
      <c r="A73" s="106" t="s">
        <v>341</v>
      </c>
      <c r="B73" s="144">
        <f>+(+rendiconto!C14-riclassificazione!B139)/(-riclassificazione!B139)</f>
        <v>2.777239709443099</v>
      </c>
      <c r="C73" s="145"/>
      <c r="D73" s="144">
        <f>+(+rendiconto!E14-riclassificazione!D139)/(-riclassificazione!D139)</f>
        <v>6.071428571428571</v>
      </c>
      <c r="E73" s="145"/>
      <c r="F73" s="144">
        <f>+(+rendiconto!G14-riclassificazione!F139)/(-riclassificazione!F139)</f>
        <v>4.308056872037914</v>
      </c>
      <c r="G73" s="146"/>
      <c r="H73" s="144">
        <f>+(+rendiconto!I14-riclassificazione!H139)/(-riclassificazione!H139)</f>
        <v>5.850847457627118</v>
      </c>
      <c r="I73" s="81"/>
      <c r="J73" s="144">
        <f>+(+rendiconto!K14-riclassificazione!J139)/(-riclassificazione!J139)</f>
        <v>4.503205128205129</v>
      </c>
      <c r="K73" s="81"/>
      <c r="L73" s="144">
        <f>+(+rendiconto!M14-riclassificazione!L139)/(-riclassificazione!L139)</f>
        <v>3.373809523809524</v>
      </c>
      <c r="M73" s="81"/>
      <c r="N73" s="144">
        <f>+(+rendiconto!O14-riclassificazione!N139)/(-riclassificazione!N139)</f>
        <v>3.276923076923077</v>
      </c>
      <c r="O73" s="81"/>
      <c r="P73" s="144">
        <f>+(+rendiconto!Q14-riclassificazione!P139)/(-riclassificazione!P139)</f>
        <v>1.7241379310344827</v>
      </c>
      <c r="Q73" s="81"/>
      <c r="R73" s="144">
        <f>+(+rendiconto!S14-riclassificazione!R139)/(-riclassificazione!R139)</f>
        <v>2.0318021201413425</v>
      </c>
      <c r="S73" s="81"/>
      <c r="T73" s="144">
        <f>+(+rendiconto!U14-riclassificazione!T139)/(-riclassificazione!T139)</f>
        <v>-5.839762611275964</v>
      </c>
      <c r="U73" s="81"/>
    </row>
    <row r="74" spans="1:21" ht="12.75">
      <c r="A74" s="106" t="s">
        <v>260</v>
      </c>
      <c r="B74" s="139">
        <f>-riclassificazione!B139/riclassificazione!B124</f>
        <v>0.32165109034267914</v>
      </c>
      <c r="C74" s="140"/>
      <c r="D74" s="139">
        <f>-riclassificazione!D139/riclassificazione!D124</f>
        <v>0.14264919941775836</v>
      </c>
      <c r="E74" s="140"/>
      <c r="F74" s="139">
        <f>-riclassificazione!F139/riclassificazione!F124</f>
        <v>0.18788958147818344</v>
      </c>
      <c r="G74" s="147"/>
      <c r="H74" s="139">
        <f>-riclassificazione!H139/riclassificazione!H124</f>
        <v>0.12955643390426</v>
      </c>
      <c r="I74" s="81"/>
      <c r="J74" s="139">
        <f>-riclassificazione!J139/riclassificazione!J124</f>
        <v>0.1685575364667747</v>
      </c>
      <c r="K74" s="81"/>
      <c r="L74" s="139">
        <f>-riclassificazione!L139/riclassificazione!L124</f>
        <v>0.261519302615193</v>
      </c>
      <c r="M74" s="81"/>
      <c r="N74" s="139">
        <f>-riclassificazione!N139/riclassificazione!N124</f>
        <v>0.27045769764216365</v>
      </c>
      <c r="O74" s="81"/>
      <c r="P74" s="139">
        <f>-riclassificazione!P139/riclassificazione!P124</f>
        <v>0.5024255024255024</v>
      </c>
      <c r="Q74" s="81"/>
      <c r="R74" s="139">
        <f>-riclassificazione!R139/riclassificazione!R124</f>
        <v>0.4760302775441548</v>
      </c>
      <c r="S74" s="81"/>
      <c r="T74" s="139">
        <f>-riclassificazione!T139/riclassificazione!T124</f>
        <v>-0.22511690046760188</v>
      </c>
      <c r="U74" s="81"/>
    </row>
    <row r="75" spans="1:21" ht="12.75">
      <c r="A75" s="106" t="s">
        <v>261</v>
      </c>
      <c r="B75" s="139">
        <f>-riclassificazione!B164/riclassificazione!B124</f>
        <v>0.31931464174454827</v>
      </c>
      <c r="C75" s="140"/>
      <c r="D75" s="139">
        <f>-riclassificazione!D164/riclassificazione!D124</f>
        <v>0.13294517224648228</v>
      </c>
      <c r="E75" s="140"/>
      <c r="F75" s="139">
        <f>-riclassificazione!F164/riclassificazione!F124</f>
        <v>0.17898486197684774</v>
      </c>
      <c r="G75" s="147"/>
      <c r="H75" s="139">
        <f>-riclassificazione!H164/riclassificazione!H124</f>
        <v>0.12428634167764603</v>
      </c>
      <c r="I75" s="81"/>
      <c r="J75" s="139">
        <f>-riclassificazione!J164/riclassificazione!J124</f>
        <v>0.16639654240950838</v>
      </c>
      <c r="K75" s="81"/>
      <c r="L75" s="139">
        <f>-riclassificazione!L164/riclassificazione!L124</f>
        <v>0.2590286425902864</v>
      </c>
      <c r="M75" s="81"/>
      <c r="N75" s="139">
        <f>-riclassificazione!N164/riclassificazione!N124</f>
        <v>0.26768377253814146</v>
      </c>
      <c r="O75" s="81"/>
      <c r="P75" s="139">
        <f>-riclassificazione!P164/riclassificazione!P124</f>
        <v>0.4774774774774775</v>
      </c>
      <c r="Q75" s="81"/>
      <c r="R75" s="139">
        <f>-riclassificazione!R164/riclassificazione!R124</f>
        <v>0.4751892346509672</v>
      </c>
      <c r="S75" s="81"/>
      <c r="T75" s="139">
        <f>-riclassificazione!T164/riclassificazione!T124</f>
        <v>-0.22511690046760188</v>
      </c>
      <c r="U75" s="81"/>
    </row>
    <row r="76" spans="1:21" ht="12.75">
      <c r="A76" s="106" t="s">
        <v>342</v>
      </c>
      <c r="B76" s="144">
        <f>+B21/riclassificazione!B111</f>
        <v>1.10741341991342</v>
      </c>
      <c r="C76" s="133"/>
      <c r="D76" s="144">
        <f>+D21/riclassificazione!D111</f>
        <v>0.675354490209318</v>
      </c>
      <c r="E76" s="145"/>
      <c r="F76" s="144">
        <f>+F21/riclassificazione!F111</f>
        <v>0.748772395487724</v>
      </c>
      <c r="G76" s="145"/>
      <c r="H76" s="144">
        <f>+H21/riclassificazione!H111</f>
        <v>0.8351351351351352</v>
      </c>
      <c r="I76" s="81"/>
      <c r="J76" s="144">
        <f>+J21/riclassificazione!J111</f>
        <v>0.98868374032162</v>
      </c>
      <c r="K76" s="81"/>
      <c r="L76" s="144">
        <f>+L21/riclassificazione!L111</f>
        <v>0.971395881006865</v>
      </c>
      <c r="M76" s="81"/>
      <c r="N76" s="144">
        <f>+N21/riclassificazione!N111</f>
        <v>0.9771238815607416</v>
      </c>
      <c r="O76" s="81"/>
      <c r="P76" s="144">
        <f>+P21/riclassificazione!P111</f>
        <v>1.1397036889728547</v>
      </c>
      <c r="Q76" s="81"/>
      <c r="R76" s="144">
        <f>+R21/riclassificazione!R111</f>
        <v>1.723281525396571</v>
      </c>
      <c r="S76" s="81"/>
      <c r="T76" s="144">
        <f>+T21/riclassificazione!T111</f>
        <v>2.025131079370819</v>
      </c>
      <c r="U76" s="81"/>
    </row>
    <row r="77" spans="1:21" ht="12.75">
      <c r="A77" s="106" t="s">
        <v>343</v>
      </c>
      <c r="B77" s="139">
        <f>+(-riclassificazione!B147-riclassificazione!B148)/+(riclassificazione!B146)</f>
        <v>0.7314814814814815</v>
      </c>
      <c r="C77" s="140"/>
      <c r="D77" s="139">
        <f>+(-riclassificazione!D147-riclassificazione!D148)/+(riclassificazione!D146)</f>
        <v>0.7662337662337663</v>
      </c>
      <c r="E77" s="140"/>
      <c r="F77" s="139">
        <f>+(-riclassificazione!F147-riclassificazione!F148)/+(riclassificazione!F146)</f>
        <v>3.7567567567567566</v>
      </c>
      <c r="G77" s="140"/>
      <c r="H77" s="139">
        <f>+(-riclassificazione!H147-riclassificazione!H148)/+(riclassificazione!H146)</f>
        <v>-2.7450980392156863</v>
      </c>
      <c r="I77" s="81"/>
      <c r="J77" s="139">
        <f>+(-riclassificazione!J147-riclassificazione!J148)/+(riclassificazione!J146)</f>
        <v>-0.42907801418439717</v>
      </c>
      <c r="K77" s="81"/>
      <c r="L77" s="139">
        <f>+(-riclassificazione!L147-riclassificazione!L148)/+(riclassificazione!L146)</f>
        <v>-0.11467889908256881</v>
      </c>
      <c r="M77" s="81"/>
      <c r="N77" s="139">
        <f>+(-riclassificazione!N147-riclassificazione!N148)/+(riclassificazione!N146)</f>
        <v>0.7135678391959799</v>
      </c>
      <c r="O77" s="81"/>
      <c r="P77" s="139">
        <f>+(-riclassificazione!P147-riclassificazione!P148)/+(riclassificazione!P146)</f>
        <v>-0.21973094170403587</v>
      </c>
      <c r="Q77" s="81"/>
      <c r="R77" s="139">
        <f>+(-riclassificazione!R147-riclassificazione!R148)/+(riclassificazione!R146)</f>
        <v>-0.11532846715328467</v>
      </c>
      <c r="S77" s="81"/>
      <c r="T77" s="139">
        <f>+(-riclassificazione!T147-riclassificazione!T148)/+(riclassificazione!T146)</f>
        <v>0</v>
      </c>
      <c r="U77" s="81"/>
    </row>
    <row r="78" spans="1:21" ht="12.75">
      <c r="A78" s="106"/>
      <c r="B78" s="131"/>
      <c r="C78" s="81"/>
      <c r="D78" s="131"/>
      <c r="E78" s="81"/>
      <c r="F78" s="131"/>
      <c r="G78" s="81"/>
      <c r="H78" s="131"/>
      <c r="I78" s="81"/>
      <c r="J78" s="131"/>
      <c r="K78" s="81"/>
      <c r="L78" s="131"/>
      <c r="M78" s="81"/>
      <c r="N78" s="131"/>
      <c r="O78" s="81"/>
      <c r="P78" s="131"/>
      <c r="Q78" s="81"/>
      <c r="R78" s="131"/>
      <c r="S78" s="81"/>
      <c r="T78" s="131"/>
      <c r="U78" s="81"/>
    </row>
    <row r="79" spans="1:21" ht="12.75">
      <c r="A79" s="106" t="s">
        <v>153</v>
      </c>
      <c r="B79" s="112">
        <f>+riclassificazione!B39-riclassificazione!B100</f>
        <v>5226</v>
      </c>
      <c r="C79" s="87"/>
      <c r="D79" s="112">
        <f>+riclassificazione!D39-riclassificazione!D100</f>
        <v>2738</v>
      </c>
      <c r="E79" s="87"/>
      <c r="F79" s="112">
        <f>+riclassificazione!F39-riclassificazione!F100</f>
        <v>3598</v>
      </c>
      <c r="G79" s="87"/>
      <c r="H79" s="148">
        <f>+riclassificazione!H39-riclassificazione!H100</f>
        <v>2189</v>
      </c>
      <c r="I79" s="81"/>
      <c r="J79" s="148">
        <f>+riclassificazione!J39-riclassificazione!J100</f>
        <v>2779</v>
      </c>
      <c r="K79" s="81"/>
      <c r="L79" s="148">
        <f>+riclassificazione!L39-riclassificazione!L100</f>
        <v>1748</v>
      </c>
      <c r="M79" s="81"/>
      <c r="N79" s="148">
        <f>+riclassificazione!N39-riclassificazione!N100</f>
        <v>1828</v>
      </c>
      <c r="O79" s="81"/>
      <c r="P79" s="148">
        <f>+riclassificazione!P39-riclassificazione!P100</f>
        <v>192</v>
      </c>
      <c r="Q79" s="81"/>
      <c r="R79" s="148">
        <f>+riclassificazione!R39-riclassificazione!R100</f>
        <v>1537</v>
      </c>
      <c r="S79" s="81"/>
      <c r="T79" s="112">
        <f>+riclassificazione!T39-riclassificazione!T100</f>
        <v>-2532</v>
      </c>
      <c r="U79" s="81"/>
    </row>
    <row r="80" spans="1:21" ht="12.75">
      <c r="A80" s="106" t="s">
        <v>154</v>
      </c>
      <c r="B80" s="112">
        <f>+riclassificazione!B39-riclassificazione!B27-riclassificazione!B100</f>
        <v>963</v>
      </c>
      <c r="C80" s="87"/>
      <c r="D80" s="112">
        <f>+riclassificazione!D39-riclassificazione!D27-riclassificazione!D100</f>
        <v>-1876</v>
      </c>
      <c r="E80" s="87"/>
      <c r="F80" s="112">
        <f>+riclassificazione!F39-riclassificazione!F27-riclassificazione!F100</f>
        <v>-1412</v>
      </c>
      <c r="G80" s="87"/>
      <c r="H80" s="112">
        <f>+riclassificazione!H39-riclassificazione!H27-riclassificazione!H100</f>
        <v>-3236</v>
      </c>
      <c r="I80" s="81"/>
      <c r="J80" s="112">
        <f>+riclassificazione!J39-riclassificazione!J27-riclassificazione!J100</f>
        <v>-2876</v>
      </c>
      <c r="K80" s="81"/>
      <c r="L80" s="112">
        <f>+riclassificazione!L39-riclassificazione!L27-riclassificazione!L100</f>
        <v>-5082</v>
      </c>
      <c r="M80" s="112"/>
      <c r="N80" s="112">
        <f>+riclassificazione!N39-riclassificazione!N27-riclassificazione!N100</f>
        <v>-5395</v>
      </c>
      <c r="O80" s="112"/>
      <c r="P80" s="112">
        <f>+riclassificazione!P39-riclassificazione!P27-riclassificazione!P100</f>
        <v>-6921</v>
      </c>
      <c r="Q80" s="112"/>
      <c r="R80" s="112">
        <f>+riclassificazione!R39-riclassificazione!R27-riclassificazione!R100</f>
        <v>-5813</v>
      </c>
      <c r="S80" s="112"/>
      <c r="T80" s="112">
        <f>+riclassificazione!T39-riclassificazione!T27-riclassificazione!T100</f>
        <v>-7353</v>
      </c>
      <c r="U80" s="81"/>
    </row>
    <row r="81" spans="1:21" ht="12.75">
      <c r="A81" s="106" t="s">
        <v>155</v>
      </c>
      <c r="B81" s="112">
        <f>+riclassificazione!B70-riclassificazione!B6-riclassificazione!B11-riclassificazione!B12</f>
        <v>-296</v>
      </c>
      <c r="C81" s="87"/>
      <c r="D81" s="112">
        <f>+riclassificazione!D70-riclassificazione!D6-riclassificazione!D11-riclassificazione!D12</f>
        <v>592</v>
      </c>
      <c r="E81" s="87"/>
      <c r="F81" s="112">
        <f>+riclassificazione!F70-riclassificazione!F6-riclassificazione!F11-riclassificazione!F12</f>
        <v>-252</v>
      </c>
      <c r="G81" s="87"/>
      <c r="H81" s="112">
        <f>+riclassificazione!H70-riclassificazione!H6-riclassificazione!H11-riclassificazione!H12</f>
        <v>-980</v>
      </c>
      <c r="I81" s="81"/>
      <c r="J81" s="112">
        <f>+riclassificazione!J70-riclassificazione!J6-riclassificazione!J11-riclassificazione!J12</f>
        <v>-1379</v>
      </c>
      <c r="K81" s="81"/>
      <c r="L81" s="112">
        <f>+riclassificazione!L70-riclassificazione!L6-riclassificazione!L11-riclassificazione!L12</f>
        <v>-1923</v>
      </c>
      <c r="M81" s="112"/>
      <c r="N81" s="112">
        <f>+riclassificazione!N70-riclassificazione!N6-riclassificazione!N11-riclassificazione!N12</f>
        <v>-1401</v>
      </c>
      <c r="O81" s="112"/>
      <c r="P81" s="112">
        <f>+riclassificazione!P70-riclassificazione!P6-riclassificazione!P11-riclassificazione!P12</f>
        <v>-2601</v>
      </c>
      <c r="Q81" s="112"/>
      <c r="R81" s="112">
        <f>+riclassificazione!R70-riclassificazione!R6-riclassificazione!R11-riclassificazione!R12</f>
        <v>-3644</v>
      </c>
      <c r="S81" s="112"/>
      <c r="T81" s="112">
        <f>+riclassificazione!T70-riclassificazione!T6-riclassificazione!T11-riclassificazione!T12</f>
        <v>-13003</v>
      </c>
      <c r="U81" s="81"/>
    </row>
    <row r="82" spans="1:21" ht="12.75">
      <c r="A82" s="106"/>
      <c r="B82" s="131"/>
      <c r="C82" s="81"/>
      <c r="D82" s="131"/>
      <c r="E82" s="81"/>
      <c r="F82" s="131"/>
      <c r="G82" s="81"/>
      <c r="H82" s="131"/>
      <c r="I82" s="81"/>
      <c r="J82" s="131"/>
      <c r="K82" s="81"/>
      <c r="L82" s="131"/>
      <c r="M82" s="81"/>
      <c r="N82" s="131"/>
      <c r="O82" s="81"/>
      <c r="P82" s="131"/>
      <c r="Q82" s="81"/>
      <c r="R82" s="131"/>
      <c r="S82" s="81"/>
      <c r="T82" s="131"/>
      <c r="U82" s="81"/>
    </row>
    <row r="83" spans="1:21" ht="12.75">
      <c r="A83" s="127" t="s">
        <v>156</v>
      </c>
      <c r="B83" s="131"/>
      <c r="C83" s="81"/>
      <c r="D83" s="131"/>
      <c r="E83" s="81"/>
      <c r="F83" s="131"/>
      <c r="G83" s="81"/>
      <c r="H83" s="131"/>
      <c r="I83" s="81"/>
      <c r="J83" s="131"/>
      <c r="K83" s="81"/>
      <c r="L83" s="131"/>
      <c r="M83" s="81"/>
      <c r="N83" s="131"/>
      <c r="O83" s="81"/>
      <c r="P83" s="131"/>
      <c r="Q83" s="81"/>
      <c r="R83" s="131"/>
      <c r="S83" s="81"/>
      <c r="T83" s="131"/>
      <c r="U83" s="81"/>
    </row>
    <row r="84" spans="1:21" ht="12.75">
      <c r="A84" s="106" t="s">
        <v>157</v>
      </c>
      <c r="B84" s="131">
        <v>99</v>
      </c>
      <c r="C84" s="81"/>
      <c r="D84" s="131">
        <v>93</v>
      </c>
      <c r="E84" s="81"/>
      <c r="F84" s="131">
        <v>73</v>
      </c>
      <c r="G84" s="81"/>
      <c r="H84" s="131">
        <v>83</v>
      </c>
      <c r="I84" s="81"/>
      <c r="J84" s="131">
        <v>75</v>
      </c>
      <c r="K84" s="81"/>
      <c r="L84" s="131">
        <v>77</v>
      </c>
      <c r="M84" s="81"/>
      <c r="N84" s="131">
        <v>79</v>
      </c>
      <c r="O84" s="81"/>
      <c r="P84" s="131">
        <v>81</v>
      </c>
      <c r="Q84" s="81"/>
      <c r="R84" s="131">
        <v>82</v>
      </c>
      <c r="S84" s="81"/>
      <c r="T84" s="131">
        <f>62+17</f>
        <v>79</v>
      </c>
      <c r="U84" s="81"/>
    </row>
    <row r="85" spans="1:21" ht="12.75">
      <c r="A85" s="106" t="s">
        <v>158</v>
      </c>
      <c r="B85" s="131">
        <v>99</v>
      </c>
      <c r="C85" s="81"/>
      <c r="D85" s="131">
        <v>93</v>
      </c>
      <c r="E85" s="81"/>
      <c r="F85" s="131">
        <v>73</v>
      </c>
      <c r="G85" s="81"/>
      <c r="H85" s="131">
        <v>83</v>
      </c>
      <c r="I85" s="81"/>
      <c r="J85" s="131">
        <v>75</v>
      </c>
      <c r="K85" s="81"/>
      <c r="L85" s="131">
        <v>77</v>
      </c>
      <c r="M85" s="81"/>
      <c r="N85" s="131">
        <v>79</v>
      </c>
      <c r="O85" s="81"/>
      <c r="P85" s="131">
        <v>80</v>
      </c>
      <c r="Q85" s="81"/>
      <c r="R85" s="131">
        <v>81</v>
      </c>
      <c r="S85" s="81"/>
      <c r="T85" s="131">
        <f>64+17</f>
        <v>81</v>
      </c>
      <c r="U85" s="81"/>
    </row>
    <row r="86" spans="1:21" ht="12.75">
      <c r="A86" s="106" t="s">
        <v>159</v>
      </c>
      <c r="B86" s="149">
        <f>+riclassificazione!B111/sintesi!B85</f>
        <v>74.66666666666667</v>
      </c>
      <c r="C86" s="150"/>
      <c r="D86" s="149">
        <f>+riclassificazione!D111/sintesi!D85</f>
        <v>79.6236559139785</v>
      </c>
      <c r="E86" s="150"/>
      <c r="F86" s="149">
        <f>+riclassificazione!F111/sintesi!F85</f>
        <v>103.21917808219177</v>
      </c>
      <c r="G86" s="150"/>
      <c r="H86" s="149">
        <f>+riclassificazione!H111/sintesi!H85</f>
        <v>98.07228915662651</v>
      </c>
      <c r="I86" s="81"/>
      <c r="J86" s="149">
        <f>+riclassificazione!J111/sintesi!J85</f>
        <v>111.93333333333334</v>
      </c>
      <c r="K86" s="81"/>
      <c r="L86" s="149">
        <f>+riclassificazione!L111/sintesi!L85</f>
        <v>124.85714285714286</v>
      </c>
      <c r="M86" s="81"/>
      <c r="N86" s="149">
        <f>+riclassificazione!N111/sintesi!N85</f>
        <v>137.22784810126583</v>
      </c>
      <c r="O86" s="81"/>
      <c r="P86" s="149">
        <f>+riclassificazione!P111/sintesi!P85</f>
        <v>125.7125</v>
      </c>
      <c r="Q86" s="81"/>
      <c r="R86" s="149">
        <f>+riclassificazione!R111/sintesi!R85</f>
        <v>77.04938271604938</v>
      </c>
      <c r="S86" s="81"/>
      <c r="T86" s="149">
        <f>+riclassificazione!T111/sintesi!T85</f>
        <v>68.28395061728395</v>
      </c>
      <c r="U86" s="81"/>
    </row>
    <row r="87" spans="1:21" ht="12.75">
      <c r="A87" s="106" t="s">
        <v>160</v>
      </c>
      <c r="B87" s="135">
        <f>+riclassificazione!B121/sintesi!B85</f>
        <v>39.94949494949495</v>
      </c>
      <c r="C87" s="136"/>
      <c r="D87" s="135">
        <f>+riclassificazione!D121/sintesi!D85</f>
        <v>49.1505376344086</v>
      </c>
      <c r="E87" s="136"/>
      <c r="F87" s="135">
        <f>+riclassificazione!F121/sintesi!F85</f>
        <v>64.05479452054794</v>
      </c>
      <c r="G87" s="136"/>
      <c r="H87" s="135">
        <f>+riclassificazione!H121/sintesi!H85</f>
        <v>57.42168674698795</v>
      </c>
      <c r="I87" s="81"/>
      <c r="J87" s="135">
        <f>+riclassificazione!J121/sintesi!J85</f>
        <v>57.70666666666666</v>
      </c>
      <c r="K87" s="81"/>
      <c r="L87" s="135">
        <f>+riclassificazione!L121/sintesi!L85</f>
        <v>53.37662337662338</v>
      </c>
      <c r="M87" s="81"/>
      <c r="N87" s="135">
        <f>+riclassificazione!N121/sintesi!N85</f>
        <v>63.30379746835443</v>
      </c>
      <c r="O87" s="81"/>
      <c r="P87" s="135">
        <f>+riclassificazione!P121/sintesi!P85</f>
        <v>56</v>
      </c>
      <c r="Q87" s="81"/>
      <c r="R87" s="135">
        <f>+riclassificazione!R121/sintesi!R85</f>
        <v>50.06172839506173</v>
      </c>
      <c r="S87" s="81"/>
      <c r="T87" s="135">
        <f>+riclassificazione!T121/sintesi!T85</f>
        <v>-1.962962962962963</v>
      </c>
      <c r="U87" s="81"/>
    </row>
    <row r="88" spans="1:21" ht="12.75">
      <c r="A88" s="106" t="s">
        <v>161</v>
      </c>
      <c r="B88" s="135">
        <f>-riclassificazione!B122/sintesi!B85</f>
        <v>26.97979797979798</v>
      </c>
      <c r="C88" s="136"/>
      <c r="D88" s="135">
        <f>-riclassificazione!D122/sintesi!D85</f>
        <v>26.989247311827956</v>
      </c>
      <c r="E88" s="136"/>
      <c r="F88" s="135">
        <f>-riclassificazione!F122/sintesi!F85</f>
        <v>33.28767123287671</v>
      </c>
      <c r="G88" s="136"/>
      <c r="H88" s="135">
        <f>-riclassificazione!H122/sintesi!H85</f>
        <v>29.987951807228917</v>
      </c>
      <c r="I88" s="81"/>
      <c r="J88" s="135">
        <f>-riclassificazione!J122/sintesi!J85</f>
        <v>33.026666666666664</v>
      </c>
      <c r="K88" s="81"/>
      <c r="L88" s="135">
        <f>-riclassificazione!L122/sintesi!L85</f>
        <v>32.51948051948052</v>
      </c>
      <c r="M88" s="81"/>
      <c r="N88" s="135">
        <f>-riclassificazione!N122/sintesi!N85</f>
        <v>35.924050632911396</v>
      </c>
      <c r="O88" s="81"/>
      <c r="P88" s="135">
        <f>-riclassificazione!P122/sintesi!P85</f>
        <v>37.9625</v>
      </c>
      <c r="Q88" s="81"/>
      <c r="R88" s="135">
        <f>-riclassificazione!R122/sintesi!R85</f>
        <v>35.382716049382715</v>
      </c>
      <c r="S88" s="81"/>
      <c r="T88" s="135">
        <f>-riclassificazione!T122/sintesi!T85</f>
        <v>35</v>
      </c>
      <c r="U88" s="81"/>
    </row>
    <row r="89" spans="1:21" ht="12.75">
      <c r="A89" s="106" t="s">
        <v>162</v>
      </c>
      <c r="B89" s="135">
        <f>+B12/sintesi!B85</f>
        <v>58.90909090909091</v>
      </c>
      <c r="C89" s="136"/>
      <c r="D89" s="135">
        <f>+D12/sintesi!D85</f>
        <v>66.7741935483871</v>
      </c>
      <c r="E89" s="136"/>
      <c r="F89" s="135">
        <f>+F12/sintesi!F85</f>
        <v>93.71232876712328</v>
      </c>
      <c r="G89" s="136"/>
      <c r="H89" s="135">
        <f>+H12/sintesi!H85</f>
        <v>89.08433734939759</v>
      </c>
      <c r="I89" s="81"/>
      <c r="J89" s="135">
        <f>+J12/sintesi!J85</f>
        <v>103.33333333333333</v>
      </c>
      <c r="K89" s="81"/>
      <c r="L89" s="135">
        <f>+L12/sintesi!L85</f>
        <v>96.67532467532467</v>
      </c>
      <c r="M89" s="81"/>
      <c r="N89" s="135">
        <f>+N12/sintesi!N85</f>
        <v>101.60759493670886</v>
      </c>
      <c r="O89" s="81"/>
      <c r="P89" s="135">
        <f>+P12/sintesi!P85</f>
        <v>211.9</v>
      </c>
      <c r="Q89" s="81"/>
      <c r="R89" s="135">
        <f>+R12/sintesi!R85</f>
        <v>213.76543209876544</v>
      </c>
      <c r="S89" s="81"/>
      <c r="T89" s="135">
        <f>+T12/sintesi!T85</f>
        <v>204.12345679012347</v>
      </c>
      <c r="U89" s="81"/>
    </row>
    <row r="90" spans="1:21" ht="12.75">
      <c r="A90" s="106"/>
      <c r="B90" s="131"/>
      <c r="C90" s="81"/>
      <c r="D90" s="131"/>
      <c r="E90" s="81"/>
      <c r="F90" s="131"/>
      <c r="G90" s="81"/>
      <c r="H90" s="131"/>
      <c r="I90" s="81"/>
      <c r="J90" s="131"/>
      <c r="K90" s="81"/>
      <c r="L90" s="131"/>
      <c r="M90" s="81"/>
      <c r="N90" s="131"/>
      <c r="O90" s="81"/>
      <c r="P90" s="131"/>
      <c r="Q90" s="81"/>
      <c r="R90" s="131"/>
      <c r="S90" s="81"/>
      <c r="T90" s="131"/>
      <c r="U90" s="81"/>
    </row>
    <row r="91" spans="1:21" ht="12.75">
      <c r="A91" s="104" t="s">
        <v>163</v>
      </c>
      <c r="B91" s="131"/>
      <c r="C91" s="81"/>
      <c r="D91" s="131"/>
      <c r="E91" s="81"/>
      <c r="F91" s="131"/>
      <c r="G91" s="81"/>
      <c r="H91" s="131"/>
      <c r="I91" s="81"/>
      <c r="J91" s="131"/>
      <c r="K91" s="81"/>
      <c r="L91" s="131"/>
      <c r="M91" s="81"/>
      <c r="N91" s="131"/>
      <c r="O91" s="81"/>
      <c r="P91" s="131"/>
      <c r="Q91" s="81"/>
      <c r="R91" s="131"/>
      <c r="S91" s="81"/>
      <c r="T91" s="131"/>
      <c r="U91" s="81"/>
    </row>
    <row r="92" spans="1:21" ht="12.75">
      <c r="A92" s="106" t="s">
        <v>164</v>
      </c>
      <c r="B92" s="139"/>
      <c r="C92" s="81"/>
      <c r="D92" s="139">
        <f>+riclassificazione!D111/riclassificazione!B111-1</f>
        <v>0.0017586580086579318</v>
      </c>
      <c r="E92" s="140"/>
      <c r="F92" s="139">
        <f>+riclassificazione!F111/riclassificazione!D111-1</f>
        <v>0.017555705604321403</v>
      </c>
      <c r="G92" s="140"/>
      <c r="H92" s="139">
        <f>+riclassificazione!H111/riclassificazione!F111-1</f>
        <v>0.08029197080291972</v>
      </c>
      <c r="I92" s="81"/>
      <c r="J92" s="139">
        <f>+riclassificazione!J111/riclassificazione!H111-1</f>
        <v>0.03132678132678124</v>
      </c>
      <c r="K92" s="81"/>
      <c r="L92" s="139">
        <f>+riclassificazione!L111/riclassificazione!J111-1</f>
        <v>0.14520547945205475</v>
      </c>
      <c r="M92" s="81"/>
      <c r="N92" s="139">
        <f>+riclassificazione!N111/riclassificazione!L111-1</f>
        <v>0.12762637819846057</v>
      </c>
      <c r="O92" s="81"/>
      <c r="P92" s="139">
        <f>+riclassificazione!P111/riclassificazione!N111-1</f>
        <v>-0.0723180518402361</v>
      </c>
      <c r="Q92" s="81"/>
      <c r="R92" s="139">
        <f>+riclassificazione!R111/riclassificazione!P111-1</f>
        <v>-0.3794372079148851</v>
      </c>
      <c r="S92" s="81"/>
      <c r="T92" s="139">
        <f>+riclassificazione!T111/riclassificazione!R111-1</f>
        <v>-0.11376381990065698</v>
      </c>
      <c r="U92" s="81"/>
    </row>
    <row r="93" spans="1:21" ht="12.75">
      <c r="A93" s="106" t="s">
        <v>165</v>
      </c>
      <c r="B93" s="139"/>
      <c r="C93" s="81"/>
      <c r="D93" s="139">
        <f>+D24/B24-1</f>
        <v>-0.11327194281666564</v>
      </c>
      <c r="E93" s="140"/>
      <c r="F93" s="139">
        <f>+F24/D24-1</f>
        <v>0.04052287581699354</v>
      </c>
      <c r="G93" s="140"/>
      <c r="H93" s="139">
        <f>+H24/F24-1</f>
        <v>0.07398101619207154</v>
      </c>
      <c r="I93" s="81"/>
      <c r="J93" s="139">
        <f>+J24/H24-1</f>
        <v>0.10241746815700536</v>
      </c>
      <c r="K93" s="81"/>
      <c r="L93" s="139">
        <f>+L24/J24-1</f>
        <v>0.009962273048809145</v>
      </c>
      <c r="M93" s="81"/>
      <c r="N93" s="139">
        <f>+N24/L24-1</f>
        <v>0.1356446623475165</v>
      </c>
      <c r="O93" s="81"/>
      <c r="P93" s="139">
        <f>+P24/N24-1</f>
        <v>0.4395847252916687</v>
      </c>
      <c r="Q93" s="81"/>
      <c r="R93" s="139">
        <f>+R24/P24-1</f>
        <v>-0.04830417707961443</v>
      </c>
      <c r="S93" s="81"/>
      <c r="T93" s="139">
        <f>+T24/R24-1</f>
        <v>-0.3702592189668755</v>
      </c>
      <c r="U93" s="81"/>
    </row>
    <row r="94" spans="1:21" ht="12.75">
      <c r="A94" s="106" t="s">
        <v>166</v>
      </c>
      <c r="B94" s="139"/>
      <c r="C94" s="81"/>
      <c r="D94" s="139">
        <f>+riclassificazione!D70/riclassificazione!B70-1</f>
        <v>0.2539819944598338</v>
      </c>
      <c r="E94" s="140"/>
      <c r="F94" s="139">
        <f>+riclassificazione!F70/riclassificazione!D70-1</f>
        <v>-0.014082562474112992</v>
      </c>
      <c r="G94" s="140"/>
      <c r="H94" s="139">
        <f>+riclassificazione!H70/riclassificazione!F70-1</f>
        <v>-0.026746954208094142</v>
      </c>
      <c r="I94" s="81"/>
      <c r="J94" s="139">
        <f>+riclassificazione!J70/riclassificazione!H70-1</f>
        <v>-0.007625899280575554</v>
      </c>
      <c r="K94" s="81"/>
      <c r="L94" s="139">
        <f>+riclassificazione!L70/riclassificazione!J70-1</f>
        <v>-0.14093083949543284</v>
      </c>
      <c r="M94" s="81"/>
      <c r="N94" s="139">
        <f>+riclassificazione!N70/riclassificazione!L70-1</f>
        <v>0.17232067510548532</v>
      </c>
      <c r="O94" s="81"/>
      <c r="P94" s="139">
        <f>+riclassificazione!P70/riclassificazione!N70-1</f>
        <v>1.1133026202130725</v>
      </c>
      <c r="Q94" s="81"/>
      <c r="R94" s="139">
        <f>+riclassificazione!R70/riclassificazione!P70-1</f>
        <v>-0.052047142175897565</v>
      </c>
      <c r="S94" s="81"/>
      <c r="T94" s="139">
        <f>+riclassificazione!T70/riclassificazione!R70-1</f>
        <v>-0.7361839741286382</v>
      </c>
      <c r="U94" s="81"/>
    </row>
    <row r="95" spans="1:21" ht="12.75">
      <c r="A95" s="106" t="s">
        <v>167</v>
      </c>
      <c r="B95" s="139"/>
      <c r="C95" s="81"/>
      <c r="D95" s="139">
        <f>+D21/B21-1</f>
        <v>-0.38907891522110916</v>
      </c>
      <c r="E95" s="140"/>
      <c r="F95" s="139">
        <f>+F21/D21-1</f>
        <v>0.12817436512697467</v>
      </c>
      <c r="G95" s="140"/>
      <c r="H95" s="139">
        <f>+H21/F21-1</f>
        <v>0.20489188231123712</v>
      </c>
      <c r="I95" s="81"/>
      <c r="J95" s="139">
        <f>+J21/H21-1</f>
        <v>0.22094733745219175</v>
      </c>
      <c r="K95" s="81"/>
      <c r="L95" s="139">
        <f>+L21/J21-1</f>
        <v>0.12518072289156623</v>
      </c>
      <c r="M95" s="81"/>
      <c r="N95" s="139">
        <f>+N21/L21-1</f>
        <v>0.13427561837455837</v>
      </c>
      <c r="O95" s="81"/>
      <c r="P95" s="139">
        <f>+P21/N21-1</f>
        <v>0.08203530633437173</v>
      </c>
      <c r="Q95" s="81"/>
      <c r="R95" s="139">
        <f>+R21/P21-1</f>
        <v>-0.06168207991624497</v>
      </c>
      <c r="S95" s="81"/>
      <c r="T95" s="139">
        <f>+T21/R21-1</f>
        <v>0.04146908414690831</v>
      </c>
      <c r="U95" s="81"/>
    </row>
    <row r="96" spans="1:21" ht="12.75">
      <c r="A96" s="106" t="s">
        <v>168</v>
      </c>
      <c r="B96" s="139"/>
      <c r="C96" s="81"/>
      <c r="D96" s="139">
        <f>+(+riclassificazione!D102-riclassificazione!D70)/(+riclassificazione!B102-riclassificazione!B70)-1</f>
        <v>-0.290231319687136</v>
      </c>
      <c r="E96" s="140"/>
      <c r="F96" s="139">
        <f>+(+riclassificazione!F102-riclassificazione!F70)/(+riclassificazione!D102-riclassificazione!D70)-1</f>
        <v>0.08370457209847593</v>
      </c>
      <c r="G96" s="140"/>
      <c r="H96" s="139">
        <f>+(+riclassificazione!H102-riclassificazione!H70)/(+riclassificazione!F102-riclassificazione!F70)-1</f>
        <v>0.08870618779749018</v>
      </c>
      <c r="I96" s="81"/>
      <c r="J96" s="139">
        <f>+(+riclassificazione!J102-riclassificazione!J70)/(+riclassificazione!H102-riclassificazione!H70)-1</f>
        <v>0.23281001589825112</v>
      </c>
      <c r="K96" s="81"/>
      <c r="L96" s="139">
        <f>+(+riclassificazione!L102-riclassificazione!L70)/(+riclassificazione!J102-riclassificazione!J70)-1</f>
        <v>0.07125010074957694</v>
      </c>
      <c r="M96" s="81"/>
      <c r="N96" s="139">
        <f>+(+riclassificazione!N102-riclassificazione!N70)/(+riclassificazione!L102-riclassificazione!L70)-1</f>
        <v>0.10194868708148364</v>
      </c>
      <c r="O96" s="81"/>
      <c r="P96" s="139">
        <f>+(+riclassificazione!P102-riclassificazione!P70)/(+riclassificazione!N102-riclassificazione!N70)-1</f>
        <v>0.05851427010787935</v>
      </c>
      <c r="Q96" s="81"/>
      <c r="R96" s="139">
        <f>+(+riclassificazione!R102-riclassificazione!R70)/(+riclassificazione!P102-riclassificazione!P70)-1</f>
        <v>0.017480487647552057</v>
      </c>
      <c r="S96" s="81"/>
      <c r="T96" s="139">
        <f>+(+riclassificazione!T102-riclassificazione!T70)/(+riclassificazione!R102-riclassificazione!R70)-1</f>
        <v>0.4661468238874096</v>
      </c>
      <c r="U96" s="81"/>
    </row>
    <row r="97" spans="1:21" ht="12.75">
      <c r="A97" s="106" t="s">
        <v>169</v>
      </c>
      <c r="B97" s="139"/>
      <c r="C97" s="81"/>
      <c r="D97" s="139">
        <f>+riclassificazione!D121/riclassificazione!B121-1</f>
        <v>0.15575221238938064</v>
      </c>
      <c r="E97" s="140"/>
      <c r="F97" s="139">
        <f>+riclassificazione!F121/riclassificazione!D121-1</f>
        <v>0.02297090352220521</v>
      </c>
      <c r="G97" s="140"/>
      <c r="H97" s="139">
        <f>+riclassificazione!H121/riclassificazione!F121-1</f>
        <v>0.01924721984602229</v>
      </c>
      <c r="I97" s="81"/>
      <c r="J97" s="139">
        <f>+riclassificazione!J121/riclassificazione!H121-1</f>
        <v>-0.09190096516995383</v>
      </c>
      <c r="K97" s="81"/>
      <c r="L97" s="139">
        <f>+riclassificazione!L121/riclassificazione!J121-1</f>
        <v>-0.050369685767097994</v>
      </c>
      <c r="M97" s="81"/>
      <c r="N97" s="139">
        <f>+riclassificazione!N121/riclassificazione!L121-1</f>
        <v>0.21678832116788316</v>
      </c>
      <c r="O97" s="81"/>
      <c r="P97" s="139">
        <f>+riclassificazione!P121/riclassificazione!N121-1</f>
        <v>-0.10417916416716655</v>
      </c>
      <c r="Q97" s="81"/>
      <c r="R97" s="139">
        <f>+riclassificazione!R121/riclassificazione!P121-1</f>
        <v>-0.0948660714285714</v>
      </c>
      <c r="S97" s="81"/>
      <c r="T97" s="139">
        <f>+riclassificazione!T121/riclassificazione!R121-1</f>
        <v>-1.0392108508014797</v>
      </c>
      <c r="U97" s="81"/>
    </row>
    <row r="98" spans="1:21" ht="12.75">
      <c r="A98" s="106" t="s">
        <v>170</v>
      </c>
      <c r="B98" s="139"/>
      <c r="C98" s="81"/>
      <c r="D98" s="139">
        <f>+riclassificazione!D129/riclassificazione!B129-1</f>
        <v>-2.728855721393035</v>
      </c>
      <c r="E98" s="140"/>
      <c r="F98" s="139">
        <f>+riclassificazione!F129/riclassificazione!D129-1</f>
        <v>0.3798561151079136</v>
      </c>
      <c r="G98" s="140"/>
      <c r="H98" s="139">
        <f>+riclassificazione!H129/riclassificazione!F129-1</f>
        <v>-0.002085505735140769</v>
      </c>
      <c r="I98" s="81"/>
      <c r="J98" s="139">
        <f>+riclassificazione!J129/riclassificazione!H129-1</f>
        <v>-0.6447230929989551</v>
      </c>
      <c r="K98" s="81"/>
      <c r="L98" s="139">
        <f>+riclassificazione!L129/riclassificazione!J129-1</f>
        <v>-1.1323529411764706</v>
      </c>
      <c r="M98" s="81"/>
      <c r="N98" s="139">
        <f>+riclassificazione!N129/riclassificazione!L129-1</f>
        <v>-26.6</v>
      </c>
      <c r="O98" s="81"/>
      <c r="P98" s="139">
        <f>+riclassificazione!P129/riclassificazione!N129-1</f>
        <v>-0.5824652777777778</v>
      </c>
      <c r="Q98" s="81"/>
      <c r="R98" s="139">
        <f>+riclassificazione!R129/riclassificazione!P129-1</f>
        <v>-0.8274428274428274</v>
      </c>
      <c r="S98" s="81"/>
      <c r="T98" s="139">
        <f>+riclassificazione!T129/riclassificazione!R129-1</f>
        <v>-104.57831325301204</v>
      </c>
      <c r="U98" s="81"/>
    </row>
    <row r="99" spans="1:21" ht="12.75">
      <c r="A99" s="106" t="s">
        <v>171</v>
      </c>
      <c r="B99" s="139"/>
      <c r="C99" s="81"/>
      <c r="D99" s="139">
        <f>+riclassificazione!D157/riclassificazione!B157-1</f>
        <v>0.24137931034482762</v>
      </c>
      <c r="E99" s="140"/>
      <c r="F99" s="139">
        <f>+riclassificazione!F157/riclassificazione!D157-1</f>
        <v>-3.8333333333333335</v>
      </c>
      <c r="G99" s="140"/>
      <c r="H99" s="139">
        <f>+riclassificazione!H157/riclassificazione!F157-1</f>
        <v>0.8725490196078431</v>
      </c>
      <c r="I99" s="81"/>
      <c r="J99" s="139">
        <f>+riclassificazione!J157/riclassificazione!H157-1</f>
        <v>-0.7225130890052356</v>
      </c>
      <c r="K99" s="81"/>
      <c r="L99" s="139">
        <f>+riclassificazione!L157/riclassificazione!J157-1</f>
        <v>17.339622641509433</v>
      </c>
      <c r="M99" s="81"/>
      <c r="N99" s="139">
        <f>+riclassificazione!N157/riclassificazione!L157-1</f>
        <v>-1.058641975308642</v>
      </c>
      <c r="O99" s="81"/>
      <c r="P99" s="139">
        <f>+riclassificazione!P157/riclassificazione!N157-1</f>
        <v>-10.543859649122806</v>
      </c>
      <c r="Q99" s="81"/>
      <c r="R99" s="139">
        <f>+riclassificazione!R157/riclassificazione!P157-1</f>
        <v>0.40441176470588225</v>
      </c>
      <c r="S99" s="81"/>
      <c r="T99" s="139">
        <f>+riclassificazione!T157/riclassificazione!R157-1</f>
        <v>12.408376963350785</v>
      </c>
      <c r="U99" s="81"/>
    </row>
    <row r="100" spans="1:21" ht="12.75">
      <c r="A100" s="97" t="s">
        <v>172</v>
      </c>
      <c r="B100" s="151"/>
      <c r="C100" s="122"/>
      <c r="D100" s="151">
        <f>+D84/B84-1</f>
        <v>-0.06060606060606055</v>
      </c>
      <c r="E100" s="152"/>
      <c r="F100" s="151">
        <f>+F84/D84-1</f>
        <v>-0.21505376344086025</v>
      </c>
      <c r="G100" s="152"/>
      <c r="H100" s="151">
        <f>+H84/F84-1</f>
        <v>0.13698630136986312</v>
      </c>
      <c r="I100" s="122"/>
      <c r="J100" s="151">
        <f>+J84/H84-1</f>
        <v>-0.09638554216867468</v>
      </c>
      <c r="K100" s="122"/>
      <c r="L100" s="151">
        <f>+L84/J84-1</f>
        <v>0.026666666666666616</v>
      </c>
      <c r="M100" s="122"/>
      <c r="N100" s="151">
        <f>+N84/L84-1</f>
        <v>0.025974025974025983</v>
      </c>
      <c r="O100" s="122"/>
      <c r="P100" s="151">
        <f>+P84/N84-1</f>
        <v>0.025316455696202445</v>
      </c>
      <c r="Q100" s="122"/>
      <c r="R100" s="151">
        <f>+R84/P84-1</f>
        <v>0.012345679012345734</v>
      </c>
      <c r="S100" s="122"/>
      <c r="T100" s="151">
        <f>+T84/R84-1</f>
        <v>-0.03658536585365857</v>
      </c>
      <c r="U100" s="122"/>
    </row>
  </sheetData>
  <sheetProtection/>
  <mergeCells count="20">
    <mergeCell ref="F63:G63"/>
    <mergeCell ref="H63:I63"/>
    <mergeCell ref="R3:S3"/>
    <mergeCell ref="R63:S63"/>
    <mergeCell ref="T3:U3"/>
    <mergeCell ref="T63:U63"/>
    <mergeCell ref="N3:O3"/>
    <mergeCell ref="N63:O63"/>
    <mergeCell ref="P3:Q3"/>
    <mergeCell ref="P63:Q63"/>
    <mergeCell ref="J3:K3"/>
    <mergeCell ref="J63:K63"/>
    <mergeCell ref="L3:M3"/>
    <mergeCell ref="L63:M63"/>
    <mergeCell ref="B3:C3"/>
    <mergeCell ref="D3:E3"/>
    <mergeCell ref="F3:G3"/>
    <mergeCell ref="H3:I3"/>
    <mergeCell ref="B63:C63"/>
    <mergeCell ref="D63:E63"/>
  </mergeCells>
  <printOptions gridLines="1"/>
  <pageMargins left="0.24" right="0.2" top="0.17" bottom="0.5" header="0.5" footer="0.5"/>
  <pageSetup fitToHeight="0" fitToWidth="1" horizontalDpi="300" verticalDpi="300" orientation="landscape" paperSize="9" scale="71" r:id="rId1"/>
  <headerFooter alignWithMargins="0">
    <oddFooter>&amp;C&amp;P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140625" style="0" bestFit="1" customWidth="1"/>
    <col min="3" max="3" width="9.8515625" style="0" customWidth="1"/>
    <col min="16" max="16" width="11.8515625" style="0" customWidth="1"/>
    <col min="18" max="18" width="11.140625" style="0" customWidth="1"/>
  </cols>
  <sheetData>
    <row r="2" spans="1:3" s="219" customFormat="1" ht="12.75">
      <c r="A2" s="231" t="s">
        <v>330</v>
      </c>
      <c r="B2" s="223"/>
      <c r="C2" s="224"/>
    </row>
    <row r="3" spans="1:15" ht="38.25">
      <c r="A3" s="58" t="s">
        <v>263</v>
      </c>
      <c r="B3" s="58">
        <v>1.2</v>
      </c>
      <c r="C3" s="57" t="s">
        <v>264</v>
      </c>
      <c r="D3" s="58" t="s">
        <v>265</v>
      </c>
      <c r="E3" s="58">
        <v>1.4</v>
      </c>
      <c r="F3" s="58" t="s">
        <v>266</v>
      </c>
      <c r="G3" s="58" t="s">
        <v>265</v>
      </c>
      <c r="H3" s="58">
        <v>3.3</v>
      </c>
      <c r="I3" s="58" t="s">
        <v>267</v>
      </c>
      <c r="J3" s="58" t="s">
        <v>265</v>
      </c>
      <c r="K3" s="58">
        <v>0.6</v>
      </c>
      <c r="L3" s="58" t="s">
        <v>268</v>
      </c>
      <c r="M3" s="58" t="s">
        <v>265</v>
      </c>
      <c r="N3" s="58">
        <v>1.05</v>
      </c>
      <c r="O3" s="58" t="s">
        <v>269</v>
      </c>
    </row>
    <row r="5" spans="16:21" ht="12.75">
      <c r="P5" s="59" t="s">
        <v>279</v>
      </c>
      <c r="Q5" s="60" t="s">
        <v>273</v>
      </c>
      <c r="R5" s="61"/>
      <c r="S5" s="62" t="s">
        <v>265</v>
      </c>
      <c r="T5" s="61">
        <v>4.88</v>
      </c>
      <c r="U5" s="63"/>
    </row>
    <row r="6" spans="16:21" ht="12.75">
      <c r="P6" s="59"/>
      <c r="Q6" s="64"/>
      <c r="R6" s="65"/>
      <c r="S6" s="65"/>
      <c r="T6" s="65"/>
      <c r="U6" s="66"/>
    </row>
    <row r="7" spans="16:21" ht="12.75">
      <c r="P7" s="59"/>
      <c r="Q7" s="67" t="s">
        <v>272</v>
      </c>
      <c r="R7" s="65"/>
      <c r="S7" s="68" t="s">
        <v>274</v>
      </c>
      <c r="T7" s="65">
        <v>0.26</v>
      </c>
      <c r="U7" s="66"/>
    </row>
    <row r="8" spans="1:21" ht="12.75">
      <c r="A8" s="53">
        <f>+riclassificazione!B3</f>
        <v>37256</v>
      </c>
      <c r="C8" s="54">
        <f>+sintesi!B30</f>
        <v>1.8166901078293483</v>
      </c>
      <c r="F8" s="55">
        <f>+riclassificazione!B70/riclassificazione!B41</f>
        <v>0.32460379903338205</v>
      </c>
      <c r="I8" s="55">
        <f>+sintesi!B57</f>
        <v>-0.03849612228841182</v>
      </c>
      <c r="L8" s="55">
        <f>+riclassificazione!B70/(+riclassificazione!B84+riclassificazione!B91)</f>
        <v>0.7038752132585913</v>
      </c>
      <c r="O8" s="54">
        <f>+sintesi!B67</f>
        <v>0.4154209284028324</v>
      </c>
      <c r="P8" s="59"/>
      <c r="Q8" s="67"/>
      <c r="R8" s="65"/>
      <c r="S8" s="65"/>
      <c r="T8" s="65"/>
      <c r="U8" s="66"/>
    </row>
    <row r="9" spans="16:21" ht="12.75">
      <c r="P9" s="59"/>
      <c r="Q9" s="69" t="s">
        <v>275</v>
      </c>
      <c r="R9" s="70"/>
      <c r="S9" s="71" t="s">
        <v>277</v>
      </c>
      <c r="T9" s="72" t="s">
        <v>276</v>
      </c>
      <c r="U9" s="73" t="s">
        <v>278</v>
      </c>
    </row>
    <row r="10" spans="1:2" ht="12.75">
      <c r="A10" t="s">
        <v>263</v>
      </c>
      <c r="B10" s="56">
        <f>+B3*C8+E3*F8+H3*I8+K3*L8+N3*O8</f>
        <v>3.3659533472683223</v>
      </c>
    </row>
    <row r="13" spans="3:15" ht="12.75">
      <c r="C13" s="54">
        <f>+C8</f>
        <v>1.8166901078293483</v>
      </c>
      <c r="F13" s="55">
        <f>+sintesi!B23/sintesi!B24</f>
        <v>0.37194925623027886</v>
      </c>
      <c r="I13" s="54">
        <f>+I8</f>
        <v>-0.03849612228841182</v>
      </c>
      <c r="L13" s="55">
        <f>+sintesi!B23/sintesi!B21</f>
        <v>0.7055949181529441</v>
      </c>
      <c r="O13" s="55">
        <f>+riclassificazione!B111/sintesi!B24</f>
        <v>0.4760126215467834</v>
      </c>
    </row>
    <row r="15" spans="1:2" ht="12.75">
      <c r="A15" t="s">
        <v>270</v>
      </c>
      <c r="B15" s="56">
        <f>+B3*C13+E3*F13+H3*I13+K3*L13+N3*O13</f>
        <v>3.496890088081738</v>
      </c>
    </row>
    <row r="19" ht="12.75">
      <c r="A19" s="53">
        <f>+riclassificazione!D3</f>
        <v>37621</v>
      </c>
    </row>
    <row r="21" spans="1:15" ht="12.75">
      <c r="A21" t="s">
        <v>263</v>
      </c>
      <c r="C21" s="54">
        <f>+sintesi!D30</f>
        <v>1.5030314164982546</v>
      </c>
      <c r="F21" s="55">
        <f>+riclassificazione!D70/riclassificazione!D41</f>
        <v>0.4592024345400368</v>
      </c>
      <c r="I21" s="55">
        <f>+sintesi!D57</f>
        <v>0.027578773854054398</v>
      </c>
      <c r="L21" s="55">
        <f>+sintesi!D23/+sintesi!D21</f>
        <v>1.4483103379324136</v>
      </c>
      <c r="O21" s="54">
        <f>+sintesi!D67</f>
        <v>0.4694731503201674</v>
      </c>
    </row>
    <row r="23" ht="12.75">
      <c r="B23" s="56">
        <f>+B3*C21+E3*F21+H3*I21+K3*L21+N3*O21</f>
        <v>3.8994640724679597</v>
      </c>
    </row>
    <row r="25" spans="3:15" ht="12.75">
      <c r="C25" s="54">
        <f>+C21</f>
        <v>1.5030314164982546</v>
      </c>
      <c r="F25" s="55">
        <f>+sintesi!D23/sintesi!D24</f>
        <v>0.525998547567175</v>
      </c>
      <c r="I25" s="54">
        <f>+I21</f>
        <v>0.027578773854054398</v>
      </c>
      <c r="L25" s="54">
        <f>+L21</f>
        <v>1.4483103379324136</v>
      </c>
      <c r="O25" s="55">
        <f>+riclassificazione!D111/sintesi!D24</f>
        <v>0.5377632534495279</v>
      </c>
    </row>
    <row r="27" ht="12.75">
      <c r="B27" s="56">
        <f>+B3*C25+E3*F25+H3*I25+K3*L25+N3*O25</f>
        <v>4.0646832389917815</v>
      </c>
    </row>
    <row r="30" ht="12.75">
      <c r="A30" s="53">
        <f>+riclassificazione!F3</f>
        <v>37986</v>
      </c>
    </row>
    <row r="32" spans="1:15" ht="12.75">
      <c r="A32" t="s">
        <v>271</v>
      </c>
      <c r="C32" s="54">
        <f>+sintesi!F30</f>
        <v>1.6751735785325577</v>
      </c>
      <c r="F32" s="55">
        <f>+riclassificazione!F70/riclassificazione!F41</f>
        <v>0.435825450106805</v>
      </c>
      <c r="I32" s="74">
        <f>+sintesi!F57</f>
        <v>0.04052487030820873</v>
      </c>
      <c r="L32" s="55">
        <f>+sintesi!F23/sintesi!F21</f>
        <v>1.2656859269762495</v>
      </c>
      <c r="O32" s="54">
        <f>+sintesi!F67</f>
        <v>0.45987183399450715</v>
      </c>
    </row>
    <row r="33" ht="12.75">
      <c r="I33" s="75"/>
    </row>
    <row r="34" spans="2:9" ht="12.75">
      <c r="B34" s="56">
        <f>+B3*C32+E3*F32+H3*I32+K3*L32+N3*O32</f>
        <v>3.996372978285667</v>
      </c>
      <c r="I34" s="75"/>
    </row>
    <row r="35" ht="12.75">
      <c r="I35" s="75"/>
    </row>
    <row r="36" spans="3:15" ht="12.75">
      <c r="C36" s="54">
        <f>+C32</f>
        <v>1.6751735785325577</v>
      </c>
      <c r="F36" s="55">
        <f>+sintesi!F23/sintesi!F24</f>
        <v>0.49839475153545504</v>
      </c>
      <c r="I36" s="75">
        <f>+I32</f>
        <v>0.04052487030820873</v>
      </c>
      <c r="L36" s="54">
        <f>+L32</f>
        <v>1.2656859269762495</v>
      </c>
      <c r="O36" s="55">
        <f>+riclassificazione!F111/sintesi!F24</f>
        <v>0.5258933556672251</v>
      </c>
    </row>
    <row r="37" ht="12.75">
      <c r="I37" s="75"/>
    </row>
    <row r="38" ht="12.75">
      <c r="B38" s="56">
        <f>+B3*C36+E3*F36+H3*I36+K3*L36+N3*O36</f>
        <v>4.153292598042131</v>
      </c>
    </row>
    <row r="41" ht="12.75">
      <c r="A41" s="53">
        <f>+sintesi!H3</f>
        <v>38352</v>
      </c>
    </row>
    <row r="43" spans="1:15" ht="12.75">
      <c r="A43" t="s">
        <v>271</v>
      </c>
      <c r="C43" s="54">
        <f>+sintesi!H30</f>
        <v>1.3318174927997575</v>
      </c>
      <c r="F43" s="55">
        <f>+riclassificazione!H70/riclassificazione!H41</f>
        <v>0.40848712824732575</v>
      </c>
      <c r="I43" s="74">
        <f>+sintesi!H57</f>
        <v>0.0327965205125191</v>
      </c>
      <c r="L43" s="55">
        <f>+sintesi!H23/sintesi!H21</f>
        <v>1.0223595175051485</v>
      </c>
      <c r="O43" s="54">
        <f>+sintesi!H67</f>
        <v>0.47842952862348653</v>
      </c>
    </row>
    <row r="44" ht="12.75">
      <c r="I44" s="75"/>
    </row>
    <row r="45" spans="2:9" ht="12.75">
      <c r="B45" s="56">
        <f>+B3*C43+E3*F43*H3*I43*K3*L43+N3*O43</f>
        <v>2.138498710945493</v>
      </c>
      <c r="I45" s="75"/>
    </row>
    <row r="46" ht="12.75">
      <c r="I46" s="75"/>
    </row>
    <row r="47" spans="3:15" ht="12.75">
      <c r="C47" s="54">
        <f>+C43</f>
        <v>1.3318174927997575</v>
      </c>
      <c r="F47" s="55">
        <f>+sintesi!H23/sintesi!H24</f>
        <v>0.4516506368598908</v>
      </c>
      <c r="I47" s="75">
        <f>+I43</f>
        <v>0.0327965205125191</v>
      </c>
      <c r="L47" s="54">
        <f>+L43</f>
        <v>1.0223595175051485</v>
      </c>
      <c r="O47" s="55">
        <f>+riclassificazione!H111/sintesi!H24</f>
        <v>0.5289836236028074</v>
      </c>
    </row>
    <row r="48" ht="12.75">
      <c r="I48" s="75"/>
    </row>
    <row r="49" ht="12.75">
      <c r="B49" s="56">
        <f>+B3*C47+E3*F47+H3*I47+K3*L47+N3*O47</f>
        <v>3.5075689159409063</v>
      </c>
    </row>
    <row r="51" ht="12.75">
      <c r="A51" s="53">
        <v>38717</v>
      </c>
    </row>
    <row r="53" spans="1:15" ht="12.75">
      <c r="A53" t="s">
        <v>271</v>
      </c>
      <c r="C53" s="54">
        <f>+sintesi!J30</f>
        <v>1.3952496088749822</v>
      </c>
      <c r="F53" s="55">
        <f>+riclassificazione!J70/riclassificazione!J41</f>
        <v>0.3572834645669291</v>
      </c>
      <c r="I53" s="74">
        <f>+sintesi!J57</f>
        <v>0.0006216328222130128</v>
      </c>
      <c r="L53" s="55">
        <f>+sintesi!J23/sintesi!J21</f>
        <v>0.8309638554216867</v>
      </c>
      <c r="O53" s="54">
        <f>+sintesi!J67</f>
        <v>0.4348839618731869</v>
      </c>
    </row>
    <row r="54" ht="12.75">
      <c r="I54" s="75"/>
    </row>
    <row r="55" spans="2:9" ht="12.75">
      <c r="B55" s="204">
        <f>+B3*C53+E3*F53*H3*I53*K3*L53+N3*O53</f>
        <v>2.1314392808135594</v>
      </c>
      <c r="I55" s="75"/>
    </row>
    <row r="56" ht="12.75">
      <c r="I56" s="75"/>
    </row>
    <row r="57" spans="3:15" ht="12.75">
      <c r="C57" s="54">
        <f>+C53</f>
        <v>1.3952496088749822</v>
      </c>
      <c r="F57" s="55">
        <f>+sintesi!J23/sintesi!J24</f>
        <v>0.4065668474416411</v>
      </c>
      <c r="I57" s="75">
        <f>+I53</f>
        <v>0.0006216328222130128</v>
      </c>
      <c r="L57" s="54">
        <f>+L53</f>
        <v>0.8309638554216867</v>
      </c>
      <c r="O57" s="55">
        <f>+riclassificazione!J111/sintesi!J24</f>
        <v>0.4948714925725065</v>
      </c>
    </row>
    <row r="58" ht="12.75">
      <c r="I58" s="75"/>
    </row>
    <row r="59" ht="12.75">
      <c r="B59" s="56">
        <f>+B3*C57+E3*F57+H3*I57+K3*L57+N3*O57</f>
        <v>3.263737885835723</v>
      </c>
    </row>
    <row r="61" ht="12.75">
      <c r="A61" s="53">
        <v>39082</v>
      </c>
    </row>
    <row r="63" spans="1:15" ht="12.75">
      <c r="A63" t="s">
        <v>271</v>
      </c>
      <c r="C63" s="54">
        <f>+sintesi!L30</f>
        <v>1.2089659294680215</v>
      </c>
      <c r="F63" s="55">
        <f>+riclassificazione!L70/riclassificazione!L41</f>
        <v>0.3083368026644463</v>
      </c>
      <c r="I63" s="74">
        <f>+sintesi!L57</f>
        <v>-0.0222210657785179</v>
      </c>
      <c r="L63" s="55">
        <f>+sintesi!L23/sintesi!L21</f>
        <v>0.6344362351429489</v>
      </c>
      <c r="O63" s="54">
        <f>+sintesi!L67</f>
        <v>0.5003122398001665</v>
      </c>
    </row>
    <row r="64" ht="12.75">
      <c r="I64" s="75"/>
    </row>
    <row r="65" spans="2:9" ht="12.75">
      <c r="B65" s="56">
        <f>+$B$3*C63+$E$3*F63*$H$3*I63*$K$3*L63+$N$3*O63</f>
        <v>1.9640373997648317</v>
      </c>
      <c r="I65" s="75"/>
    </row>
    <row r="66" ht="12.75">
      <c r="I66" s="75"/>
    </row>
    <row r="67" spans="3:15" ht="12.75">
      <c r="C67" s="54">
        <f>+C63</f>
        <v>1.2089659294680215</v>
      </c>
      <c r="F67" s="55">
        <f>+sintesi!L23/sintesi!L24</f>
        <v>0.34582384871301</v>
      </c>
      <c r="I67" s="75">
        <f>+I63</f>
        <v>-0.0222210657785179</v>
      </c>
      <c r="L67" s="54">
        <f>+L63</f>
        <v>0.6344362351429489</v>
      </c>
      <c r="O67" s="55">
        <f>+riclassificazione!L111/sintesi!L24</f>
        <v>0.5611393217766882</v>
      </c>
    </row>
    <row r="68" ht="12.75">
      <c r="I68" s="75"/>
    </row>
    <row r="69" ht="12.75">
      <c r="B69" s="56">
        <f>+$B$3*C67+$E$3*F67*$H$3*I67*$K$3*L67+$N$3*O67</f>
        <v>2.026440870634608</v>
      </c>
    </row>
    <row r="71" ht="12.75">
      <c r="A71" s="53">
        <v>39447</v>
      </c>
    </row>
    <row r="73" spans="1:15" ht="12.75">
      <c r="A73" t="s">
        <v>271</v>
      </c>
      <c r="C73" s="54">
        <f>+sintesi!N30</f>
        <v>1.1861507128309572</v>
      </c>
      <c r="F73" s="55">
        <f>+riclassificazione!N70/riclassificazione!N41</f>
        <v>0.32169321971100406</v>
      </c>
      <c r="I73" s="74">
        <f>+sintesi!N57</f>
        <v>0.03598555020377918</v>
      </c>
      <c r="L73" s="55">
        <f>+sintesi!N23/sintesi!N21</f>
        <v>0.655716038893609</v>
      </c>
      <c r="O73" s="54">
        <f>+sintesi!N67</f>
        <v>0.5020841052241571</v>
      </c>
    </row>
    <row r="74" ht="12.75">
      <c r="I74" s="75"/>
    </row>
    <row r="75" spans="2:9" ht="12.75">
      <c r="B75" s="56">
        <f>+$B$3*C73+$E$3*F73*$H$3*I73*$K$3*L73+$N$3*O73</f>
        <v>1.971610781720274</v>
      </c>
      <c r="I75" s="75"/>
    </row>
    <row r="76" ht="12.75">
      <c r="I76" s="75"/>
    </row>
    <row r="77" spans="3:15" ht="12.75">
      <c r="C77" s="54">
        <f>+C73</f>
        <v>1.1861507128309572</v>
      </c>
      <c r="F77" s="55">
        <f>+sintesi!N23/sintesi!N24</f>
        <v>0.35699234208768055</v>
      </c>
      <c r="I77" s="75">
        <f>+I73</f>
        <v>0.03598555020377918</v>
      </c>
      <c r="L77" s="54">
        <f>+L73</f>
        <v>0.655716038893609</v>
      </c>
      <c r="O77" s="55">
        <f>+riclassificazione!N111/sintesi!N24</f>
        <v>0.5571773654725806</v>
      </c>
    </row>
    <row r="78" ht="12.75">
      <c r="I78" s="75"/>
    </row>
    <row r="79" ht="12.75">
      <c r="B79" s="56">
        <f>+$B$3*C77+$E$3*F77*$H$3*I77*$K$3*L77+$N$3*O77</f>
        <v>2.0317675835242452</v>
      </c>
    </row>
    <row r="81" ht="12.75">
      <c r="A81" s="53">
        <v>39813</v>
      </c>
    </row>
    <row r="83" spans="1:15" ht="12.75">
      <c r="A83" t="s">
        <v>271</v>
      </c>
      <c r="C83" s="54">
        <f>+sintesi!P30</f>
        <v>1.0181852623602956</v>
      </c>
      <c r="F83" s="55">
        <f>+riclassificazione!P70/riclassificazione!P41</f>
        <v>0.4863494798224107</v>
      </c>
      <c r="I83" s="74">
        <f>+sintesi!P57</f>
        <v>0.008481876615201113</v>
      </c>
      <c r="L83" s="55">
        <f>+sintesi!P23/sintesi!P21</f>
        <v>1.2806665503402548</v>
      </c>
      <c r="O83" s="54">
        <f>+sintesi!P67</f>
        <v>0.33321184812139687</v>
      </c>
    </row>
    <row r="84" ht="12.75">
      <c r="I84" s="75"/>
    </row>
    <row r="85" spans="2:9" ht="12.75">
      <c r="B85" s="56">
        <f>+$B$3*C83+$E$3*F83*$H$3*I83*$K$3*L83+$N$3*O83</f>
        <v>1.586339091823896</v>
      </c>
      <c r="I85" s="75"/>
    </row>
    <row r="86" ht="12.75">
      <c r="I86" s="75"/>
    </row>
    <row r="87" spans="3:15" ht="12.75">
      <c r="C87" s="54">
        <f>+C83</f>
        <v>1.0181852623602956</v>
      </c>
      <c r="F87" s="55">
        <f>+sintesi!P23/sintesi!P24</f>
        <v>0.5240628347018922</v>
      </c>
      <c r="I87" s="75">
        <f>+I83</f>
        <v>0.008481876615201113</v>
      </c>
      <c r="L87" s="54">
        <f>+L83</f>
        <v>1.2806665503402548</v>
      </c>
      <c r="O87" s="55">
        <f>+riclassificazione!P111/sintesi!P24</f>
        <v>0.35905033916458406</v>
      </c>
    </row>
    <row r="88" ht="12.75">
      <c r="I88" s="75"/>
    </row>
    <row r="89" ht="12.75">
      <c r="B89" s="56">
        <f>+$B$3*C87+$E$3*F87*$H$3*I87*$K$3*L87+$N$3*O87</f>
        <v>1.6146050839561927</v>
      </c>
    </row>
    <row r="91" ht="12.75">
      <c r="A91" s="53">
        <v>40178</v>
      </c>
    </row>
    <row r="93" spans="1:15" ht="12.75">
      <c r="A93" t="s">
        <v>271</v>
      </c>
      <c r="C93" s="54">
        <f>+sintesi!R30</f>
        <v>1.1758178906428736</v>
      </c>
      <c r="F93" s="55">
        <f>+riclassificazione!P70/riclassificazione!P41</f>
        <v>0.4863494798224107</v>
      </c>
      <c r="I93" s="74">
        <f>+sintesi!R57</f>
        <v>-0.003873488497423288</v>
      </c>
      <c r="L93" s="55">
        <f>+sintesi!R23/sintesi!R21</f>
        <v>1.293816829381683</v>
      </c>
      <c r="O93" s="54">
        <f>+sintesi!R67</f>
        <v>0.2102125366297282</v>
      </c>
    </row>
    <row r="94" ht="12.75">
      <c r="I94" s="75"/>
    </row>
    <row r="95" spans="2:9" ht="12.75">
      <c r="B95" s="56">
        <f>+$B$3*C93+$E$3*F93*$H$3*I93*$K$3*L93+$N$3*O93</f>
        <v>1.6249482105306015</v>
      </c>
      <c r="I95" s="75"/>
    </row>
    <row r="96" ht="12.75">
      <c r="I96" s="75"/>
    </row>
    <row r="97" spans="3:15" ht="12.75">
      <c r="C97" s="54">
        <f>+C93</f>
        <v>1.1758178906428736</v>
      </c>
      <c r="F97" s="55">
        <f>+sintesi!R23/sintesi!R24</f>
        <v>0.5220017256255393</v>
      </c>
      <c r="I97" s="75">
        <f>+I93</f>
        <v>-0.003873488497423288</v>
      </c>
      <c r="L97" s="54">
        <f>+L93</f>
        <v>1.293816829381683</v>
      </c>
      <c r="O97" s="55">
        <f>+riclassificazione!R111/sintesi!R24</f>
        <v>0.2341223693588926</v>
      </c>
    </row>
    <row r="98" ht="12.75">
      <c r="I98" s="75"/>
    </row>
    <row r="99" ht="12.75">
      <c r="B99" s="56">
        <f>+$B$3*C97+$E$3*F97*$H$3*I97*$K$3*L97+$N$3*O97</f>
        <v>1.6495582498856194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36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00390625" style="0" customWidth="1"/>
  </cols>
  <sheetData>
    <row r="2" spans="1:12" s="219" customFormat="1" ht="12.75">
      <c r="A2" s="228" t="s">
        <v>329</v>
      </c>
      <c r="B2" s="225">
        <v>37256</v>
      </c>
      <c r="C2" s="226">
        <v>37621</v>
      </c>
      <c r="D2" s="226">
        <v>37986</v>
      </c>
      <c r="E2" s="226">
        <v>38352</v>
      </c>
      <c r="F2" s="226">
        <v>38717</v>
      </c>
      <c r="G2" s="226">
        <v>39082</v>
      </c>
      <c r="H2" s="226">
        <v>39447</v>
      </c>
      <c r="I2" s="226">
        <v>39813</v>
      </c>
      <c r="J2" s="227">
        <v>40178</v>
      </c>
      <c r="K2" s="218"/>
      <c r="L2" s="218"/>
    </row>
    <row r="3" spans="1:12" ht="12.75">
      <c r="A3" s="206" t="s">
        <v>320</v>
      </c>
      <c r="B3" s="207"/>
      <c r="C3" s="207"/>
      <c r="D3" s="207"/>
      <c r="E3" s="207"/>
      <c r="F3" s="207"/>
      <c r="G3" s="207"/>
      <c r="H3" s="207"/>
      <c r="I3" s="207"/>
      <c r="J3" s="207"/>
      <c r="K3" s="80"/>
      <c r="L3" s="80"/>
    </row>
    <row r="4" spans="1:12" ht="12.75">
      <c r="A4" s="80"/>
      <c r="B4" s="207"/>
      <c r="C4" s="207"/>
      <c r="D4" s="207"/>
      <c r="E4" s="207"/>
      <c r="F4" s="207"/>
      <c r="G4" s="207"/>
      <c r="H4" s="207"/>
      <c r="I4" s="207"/>
      <c r="J4" s="207"/>
      <c r="K4" s="80"/>
      <c r="L4" s="80"/>
    </row>
    <row r="5" spans="1:12" ht="12.75">
      <c r="A5" s="97" t="s">
        <v>315</v>
      </c>
      <c r="B5" s="211">
        <f>+'rendiconto ias'!C31/riclassificazione!B111</f>
        <v>0.08806818181818182</v>
      </c>
      <c r="C5" s="211">
        <f>+'rendiconto ias'!E31/riclassificazione!D111</f>
        <v>0.5558406482106685</v>
      </c>
      <c r="D5" s="211">
        <f>+'rendiconto ias'!G31/riclassificazione!F111</f>
        <v>0.25016589250165894</v>
      </c>
      <c r="E5" s="211">
        <f>+'rendiconto ias'!I31/riclassificazione!H111</f>
        <v>0.12223587223587223</v>
      </c>
      <c r="F5" s="211">
        <f>+'rendiconto ias'!K31/riclassificazione!J111</f>
        <v>0.15378201310303752</v>
      </c>
      <c r="G5" s="211">
        <f>+'rendiconto ias'!M31/riclassificazione!L111</f>
        <v>0.015394216767214478</v>
      </c>
      <c r="H5" s="211">
        <f>+'rendiconto ias'!O31/riclassificazione!N111</f>
        <v>-0.0027672723918457705</v>
      </c>
      <c r="I5" s="211">
        <f>+'rendiconto ias'!Q31/riclassificazione!P111</f>
        <v>0.15441980709953265</v>
      </c>
      <c r="J5" s="211">
        <f>+'rendiconto ias'!S31/riclassificazione!R111</f>
        <v>0.2951450088126903</v>
      </c>
      <c r="K5" s="80"/>
      <c r="L5" s="80"/>
    </row>
    <row r="6" spans="1:12" ht="12.75">
      <c r="A6" s="208" t="s">
        <v>316</v>
      </c>
      <c r="B6" s="207"/>
      <c r="C6" s="207"/>
      <c r="D6" s="207"/>
      <c r="E6" s="207"/>
      <c r="F6" s="207"/>
      <c r="G6" s="207"/>
      <c r="H6" s="207"/>
      <c r="I6" s="207"/>
      <c r="J6" s="207"/>
      <c r="K6" s="80"/>
      <c r="L6" s="80"/>
    </row>
    <row r="7" spans="1:12" ht="12.75">
      <c r="A7" s="80"/>
      <c r="B7" s="207"/>
      <c r="C7" s="207"/>
      <c r="D7" s="207"/>
      <c r="E7" s="207"/>
      <c r="F7" s="207"/>
      <c r="G7" s="207"/>
      <c r="H7" s="207"/>
      <c r="I7" s="207"/>
      <c r="J7" s="207"/>
      <c r="K7" s="80"/>
      <c r="L7" s="80"/>
    </row>
    <row r="8" spans="1:12" ht="12.75">
      <c r="A8" s="200" t="s">
        <v>317</v>
      </c>
      <c r="B8" s="211">
        <f>(+'rendiconto ias'!C31+'rendiconto ias'!C45)/riclassificazione!B111</f>
        <v>0.010281385281385282</v>
      </c>
      <c r="C8" s="211">
        <f>('rendiconto ias'!E31+'rendiconto ias'!E45)/riclassificazione!D111</f>
        <v>0.24469952734638759</v>
      </c>
      <c r="D8" s="211">
        <f>(+'rendiconto ias'!G31+'rendiconto ias'!G45)/riclassificazione!F111</f>
        <v>-0.041539482415394825</v>
      </c>
      <c r="E8" s="211">
        <f>(+'rendiconto ias'!I31+'rendiconto ias'!I45)/riclassificazione!H111</f>
        <v>-0.14606879606879608</v>
      </c>
      <c r="F8" s="211">
        <f>(+'rendiconto ias'!K31+'rendiconto ias'!K45)/riclassificazione!J111</f>
        <v>-0.2038117927337701</v>
      </c>
      <c r="G8" s="211">
        <f>(+'rendiconto ias'!M31+'rendiconto ias'!M45)/riclassificazione!L111</f>
        <v>-0.1470771791137924</v>
      </c>
      <c r="H8" s="211">
        <f>(+'rendiconto ias'!O31+'rendiconto ias'!O45)/riclassificazione!N111</f>
        <v>-0.20127294530024906</v>
      </c>
      <c r="I8" s="211">
        <f>(+'rendiconto ias'!Q31+'rendiconto ias'!Q45)/riclassificazione!P111</f>
        <v>-0.09774286566570548</v>
      </c>
      <c r="J8" s="211">
        <f>(+'rendiconto ias'!S31+'rendiconto ias'!S45)/riclassificazione!R111</f>
        <v>0.10078513058804679</v>
      </c>
      <c r="K8" s="80"/>
      <c r="L8" s="80"/>
    </row>
    <row r="9" spans="1:12" ht="12.75">
      <c r="A9" s="208" t="s">
        <v>316</v>
      </c>
      <c r="B9" s="207"/>
      <c r="C9" s="207"/>
      <c r="D9" s="207"/>
      <c r="E9" s="207"/>
      <c r="F9" s="207"/>
      <c r="G9" s="207"/>
      <c r="H9" s="207"/>
      <c r="I9" s="207"/>
      <c r="J9" s="207"/>
      <c r="K9" s="80"/>
      <c r="L9" s="80"/>
    </row>
    <row r="10" spans="1:12" ht="12.75">
      <c r="A10" s="80"/>
      <c r="B10" s="207"/>
      <c r="C10" s="207"/>
      <c r="D10" s="207"/>
      <c r="E10" s="207"/>
      <c r="F10" s="207"/>
      <c r="G10" s="207"/>
      <c r="H10" s="207"/>
      <c r="I10" s="207"/>
      <c r="J10" s="207"/>
      <c r="K10" s="80"/>
      <c r="L10" s="80"/>
    </row>
    <row r="11" spans="1:12" ht="12.75">
      <c r="A11" s="200" t="s">
        <v>318</v>
      </c>
      <c r="B11" s="209">
        <f>+'rendiconto ias'!C9/'rendiconto ias'!C31</f>
        <v>1.0261136712749617</v>
      </c>
      <c r="C11" s="209">
        <f>+'rendiconto ias'!E9/'rendiconto ias'!E31</f>
        <v>0.36345966958211856</v>
      </c>
      <c r="D11" s="209">
        <f>+'rendiconto ias'!G9/'rendiconto ias'!G31</f>
        <v>0.7846153846153846</v>
      </c>
      <c r="E11" s="209">
        <f>+'rendiconto ias'!I9/'rendiconto ias'!I31</f>
        <v>1.5346733668341708</v>
      </c>
      <c r="F11" s="209">
        <f>+'rendiconto ias'!K9/'rendiconto ias'!K31</f>
        <v>1.3284275755228505</v>
      </c>
      <c r="G11" s="209">
        <f>+'rendiconto ias'!M9/'rendiconto ias'!M31</f>
        <v>12.641891891891891</v>
      </c>
      <c r="H11" s="209" t="s">
        <v>321</v>
      </c>
      <c r="I11" s="209">
        <f>+'rendiconto ias'!Q9/'rendiconto ias'!Q31</f>
        <v>0.7179652285898261</v>
      </c>
      <c r="J11" s="209">
        <f>+'rendiconto ias'!S9/'rendiconto ias'!S31</f>
        <v>0.6693811074918566</v>
      </c>
      <c r="K11" s="80"/>
      <c r="L11" s="80"/>
    </row>
    <row r="12" spans="1:12" ht="12.75">
      <c r="A12" s="80" t="s">
        <v>319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80"/>
      <c r="L12" s="80"/>
    </row>
    <row r="13" spans="1:12" ht="12.75">
      <c r="A13" s="80"/>
      <c r="B13" s="207"/>
      <c r="C13" s="207"/>
      <c r="D13" s="207"/>
      <c r="E13" s="207"/>
      <c r="F13" s="207"/>
      <c r="G13" s="207"/>
      <c r="H13" s="207"/>
      <c r="I13" s="207"/>
      <c r="J13" s="207"/>
      <c r="K13" s="80"/>
      <c r="L13" s="80"/>
    </row>
    <row r="14" spans="1:22" ht="12.75">
      <c r="A14" s="200" t="s">
        <v>322</v>
      </c>
      <c r="B14" s="210">
        <f>+riclassificazione!B150/riclassificazione!B111</f>
        <v>0.003923160173160173</v>
      </c>
      <c r="C14" s="210">
        <f>+riclassificazione!D150/riclassificazione!D111</f>
        <v>0.004861580013504389</v>
      </c>
      <c r="D14" s="210">
        <f>+riclassificazione!F150/riclassificazione!F111</f>
        <v>-0.013536828135368282</v>
      </c>
      <c r="E14" s="210">
        <f>+riclassificazione!H150/riclassificazione!H111</f>
        <v>-0.023464373464373463</v>
      </c>
      <c r="F14" s="210">
        <f>+riclassificazione!J150/riclassificazione!J111</f>
        <v>-0.048004764740917215</v>
      </c>
      <c r="G14" s="210">
        <f>+riclassificazione!L150/riclassificazione!L111</f>
        <v>-0.10110255876846266</v>
      </c>
      <c r="H14" s="210">
        <f>+riclassificazione!N150/riclassificazione!N111</f>
        <v>0.005257817544506964</v>
      </c>
      <c r="I14" s="210">
        <f>+riclassificazione!P150/riclassificazione!P111</f>
        <v>-0.05409167743859998</v>
      </c>
      <c r="J14" s="210">
        <f>+riclassificazione!R150/riclassificazione!R111</f>
        <v>-0.12241627944239705</v>
      </c>
      <c r="K14" s="210"/>
      <c r="V14" s="210"/>
    </row>
    <row r="15" spans="1:12" ht="12.75">
      <c r="A15" s="208" t="s">
        <v>316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80"/>
    </row>
    <row r="18" spans="1:11" ht="12.75">
      <c r="A18" s="129"/>
      <c r="B18" s="215"/>
      <c r="C18" s="215"/>
      <c r="D18" s="215"/>
      <c r="E18" s="215"/>
      <c r="F18" s="215"/>
      <c r="G18" s="215"/>
      <c r="H18" s="215"/>
      <c r="I18" s="215"/>
      <c r="J18" s="216"/>
      <c r="K18" s="205"/>
    </row>
    <row r="19" spans="1:11" ht="12.75">
      <c r="A19" s="127"/>
      <c r="B19" s="115"/>
      <c r="C19" s="115"/>
      <c r="D19" s="115"/>
      <c r="E19" s="115"/>
      <c r="F19" s="115"/>
      <c r="G19" s="115"/>
      <c r="H19" s="115"/>
      <c r="I19" s="115"/>
      <c r="J19" s="115"/>
      <c r="K19" s="205"/>
    </row>
    <row r="20" spans="1:11" ht="12.75">
      <c r="A20" s="106"/>
      <c r="B20" s="115"/>
      <c r="C20" s="115"/>
      <c r="D20" s="115"/>
      <c r="E20" s="115"/>
      <c r="F20" s="115"/>
      <c r="G20" s="115"/>
      <c r="H20" s="115"/>
      <c r="I20" s="115"/>
      <c r="J20" s="115"/>
      <c r="K20" s="205"/>
    </row>
    <row r="21" spans="1:11" ht="12.75">
      <c r="A21" s="106"/>
      <c r="B21" s="212"/>
      <c r="C21" s="212"/>
      <c r="D21" s="212"/>
      <c r="E21" s="212"/>
      <c r="F21" s="212"/>
      <c r="G21" s="212"/>
      <c r="H21" s="212"/>
      <c r="I21" s="212"/>
      <c r="J21" s="212"/>
      <c r="K21" s="205"/>
    </row>
    <row r="22" spans="1:11" ht="12.75">
      <c r="A22" s="217"/>
      <c r="B22" s="115"/>
      <c r="C22" s="115"/>
      <c r="D22" s="115"/>
      <c r="E22" s="115"/>
      <c r="F22" s="115"/>
      <c r="G22" s="115"/>
      <c r="H22" s="115"/>
      <c r="I22" s="115"/>
      <c r="J22" s="115"/>
      <c r="K22" s="205"/>
    </row>
    <row r="23" spans="1:11" ht="12.75">
      <c r="A23" s="106"/>
      <c r="B23" s="115"/>
      <c r="C23" s="115"/>
      <c r="D23" s="115"/>
      <c r="E23" s="115"/>
      <c r="F23" s="115"/>
      <c r="G23" s="115"/>
      <c r="H23" s="115"/>
      <c r="I23" s="115"/>
      <c r="J23" s="115"/>
      <c r="K23" s="205"/>
    </row>
    <row r="24" spans="1:11" ht="12.75">
      <c r="A24" s="217"/>
      <c r="B24" s="212"/>
      <c r="C24" s="212"/>
      <c r="D24" s="212"/>
      <c r="E24" s="212"/>
      <c r="F24" s="212"/>
      <c r="G24" s="212"/>
      <c r="H24" s="212"/>
      <c r="I24" s="212"/>
      <c r="J24" s="212"/>
      <c r="K24" s="205"/>
    </row>
    <row r="25" spans="1:11" ht="12.75">
      <c r="A25" s="217"/>
      <c r="B25" s="115"/>
      <c r="C25" s="115"/>
      <c r="D25" s="115"/>
      <c r="E25" s="115"/>
      <c r="F25" s="115"/>
      <c r="G25" s="115"/>
      <c r="H25" s="115"/>
      <c r="I25" s="115"/>
      <c r="J25" s="115"/>
      <c r="K25" s="205"/>
    </row>
    <row r="26" spans="1:11" ht="12.75">
      <c r="A26" s="106"/>
      <c r="B26" s="115"/>
      <c r="C26" s="115"/>
      <c r="D26" s="115"/>
      <c r="E26" s="115"/>
      <c r="F26" s="115"/>
      <c r="G26" s="115"/>
      <c r="H26" s="115"/>
      <c r="I26" s="115"/>
      <c r="J26" s="115"/>
      <c r="K26" s="205"/>
    </row>
    <row r="27" spans="1:11" ht="12.75">
      <c r="A27" s="217"/>
      <c r="B27" s="213"/>
      <c r="C27" s="213"/>
      <c r="D27" s="213"/>
      <c r="E27" s="213"/>
      <c r="F27" s="213"/>
      <c r="G27" s="213"/>
      <c r="H27" s="213"/>
      <c r="I27" s="213"/>
      <c r="J27" s="213"/>
      <c r="K27" s="205"/>
    </row>
    <row r="28" spans="1:11" ht="12.75">
      <c r="A28" s="106"/>
      <c r="B28" s="115"/>
      <c r="C28" s="115"/>
      <c r="D28" s="115"/>
      <c r="E28" s="115"/>
      <c r="F28" s="115"/>
      <c r="G28" s="115"/>
      <c r="H28" s="115"/>
      <c r="I28" s="115"/>
      <c r="J28" s="115"/>
      <c r="K28" s="205"/>
    </row>
    <row r="29" spans="1:11" ht="12.75">
      <c r="A29" s="106"/>
      <c r="B29" s="115"/>
      <c r="C29" s="115"/>
      <c r="D29" s="115"/>
      <c r="E29" s="115"/>
      <c r="F29" s="115"/>
      <c r="G29" s="115"/>
      <c r="H29" s="115"/>
      <c r="I29" s="115"/>
      <c r="J29" s="115"/>
      <c r="K29" s="205"/>
    </row>
    <row r="30" spans="1:11" ht="12.75">
      <c r="A30" s="217"/>
      <c r="B30" s="214"/>
      <c r="C30" s="214"/>
      <c r="D30" s="214"/>
      <c r="E30" s="214"/>
      <c r="F30" s="214"/>
      <c r="G30" s="214"/>
      <c r="H30" s="214"/>
      <c r="I30" s="214"/>
      <c r="J30" s="214"/>
      <c r="K30" s="205"/>
    </row>
    <row r="31" spans="1:11" ht="12.75">
      <c r="A31" s="217"/>
      <c r="B31" s="106"/>
      <c r="C31" s="106"/>
      <c r="D31" s="106"/>
      <c r="E31" s="106"/>
      <c r="F31" s="106"/>
      <c r="G31" s="106"/>
      <c r="H31" s="106"/>
      <c r="I31" s="106"/>
      <c r="J31" s="106"/>
      <c r="K31" s="205"/>
    </row>
    <row r="32" spans="1:11" ht="12.7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</row>
    <row r="33" spans="1:11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centrale bilanci</dc:title>
  <dc:subject/>
  <dc:creator>sandra</dc:creator>
  <cp:keywords/>
  <dc:description/>
  <cp:lastModifiedBy>Claudio</cp:lastModifiedBy>
  <cp:lastPrinted>2011-12-19T11:31:26Z</cp:lastPrinted>
  <dcterms:created xsi:type="dcterms:W3CDTF">1999-12-09T14:13:51Z</dcterms:created>
  <dcterms:modified xsi:type="dcterms:W3CDTF">2012-04-01T07:08:35Z</dcterms:modified>
  <cp:category/>
  <cp:version/>
  <cp:contentType/>
  <cp:contentStatus/>
</cp:coreProperties>
</file>